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8310" tabRatio="855" activeTab="14"/>
  </bookViews>
  <sheets>
    <sheet name="Прочитати" sheetId="1" r:id="rId1"/>
    <sheet name="Дані" sheetId="2" r:id="rId2"/>
    <sheet name="Чорн" sheetId="3" r:id="rId3"/>
    <sheet name="Корег" sheetId="4" r:id="rId4"/>
    <sheet name="Таб" sheetId="5" r:id="rId5"/>
    <sheet name="індек" sheetId="6" r:id="rId6"/>
    <sheet name="Відом" sheetId="7" r:id="rId7"/>
    <sheet name="ЗаявкаА" sheetId="8" r:id="rId8"/>
    <sheet name="5А" sheetId="9" r:id="rId9"/>
    <sheet name="ВидА" sheetId="10" r:id="rId10"/>
    <sheet name="Заявка" sheetId="11" r:id="rId11"/>
    <sheet name="5" sheetId="12" r:id="rId12"/>
    <sheet name="Вид" sheetId="13" r:id="rId13"/>
    <sheet name="М-о №5" sheetId="14" r:id="rId14"/>
    <sheet name="розрах" sheetId="15" r:id="rId15"/>
    <sheet name="год" sheetId="16" r:id="rId16"/>
  </sheets>
  <definedNames>
    <definedName name="_xlfn.BAHTTEXT" hidden="1">#NAME?</definedName>
    <definedName name="_xlnm.Print_Area" localSheetId="12">'Вид'!$A$1:$F$29</definedName>
    <definedName name="_xlnm.Print_Area" localSheetId="9">'ВидА'!$A$1:$F$29</definedName>
    <definedName name="_xlnm.Print_Area" localSheetId="10">'Заявка'!$A$1:$M$86</definedName>
    <definedName name="_xlnm.Print_Area" localSheetId="7">'ЗаявкаА'!$A$1:$M$86</definedName>
    <definedName name="_xlnm.Print_Area" localSheetId="5">'індек'!$A$2:$S$159</definedName>
    <definedName name="_xlnm.Print_Area" localSheetId="14">'розрах'!$A$1:$Q$105</definedName>
    <definedName name="_xlnm.Print_Area" localSheetId="4">'Таб'!$A$1:$AJ$27</definedName>
  </definedNames>
  <calcPr fullCalcOnLoad="1"/>
</workbook>
</file>

<file path=xl/sharedStrings.xml><?xml version="1.0" encoding="utf-8"?>
<sst xmlns="http://schemas.openxmlformats.org/spreadsheetml/2006/main" count="862" uniqueCount="364">
  <si>
    <t>оклад</t>
  </si>
  <si>
    <t>відпускні</t>
  </si>
  <si>
    <t>всього</t>
  </si>
  <si>
    <t>Нараховано</t>
  </si>
  <si>
    <t>профвнески</t>
  </si>
  <si>
    <t>Утримано</t>
  </si>
  <si>
    <t>Сума до виплати</t>
  </si>
  <si>
    <t>прибутковий            податок</t>
  </si>
  <si>
    <t>всього утримано</t>
  </si>
  <si>
    <t xml:space="preserve">№ п/п </t>
  </si>
  <si>
    <t>Всього</t>
  </si>
  <si>
    <t>за</t>
  </si>
  <si>
    <t>Прожитковий мінімум</t>
  </si>
  <si>
    <t>Сума до видачі:</t>
  </si>
  <si>
    <t>к-ть відпр. днів</t>
  </si>
  <si>
    <t>Мінімальна з/п</t>
  </si>
  <si>
    <t xml:space="preserve">                           Затверджую: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</si>
  <si>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ТАБЕЛЬ</t>
  </si>
  <si>
    <t>Посада</t>
  </si>
  <si>
    <t>П.І.Б.</t>
  </si>
  <si>
    <t>Числа місяця</t>
  </si>
  <si>
    <t>Всього днів</t>
  </si>
  <si>
    <t>К-ть годин</t>
  </si>
  <si>
    <t>Сільський голова</t>
  </si>
  <si>
    <t>В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</si>
  <si>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</si>
  <si>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</si>
  <si>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</si>
  <si>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</si>
  <si>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</si>
  <si>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</si>
  <si>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</si>
  <si>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</si>
  <si>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</si>
  <si>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</si>
  <si>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грудень</t>
  </si>
  <si>
    <t>листопад</t>
  </si>
  <si>
    <t>року</t>
  </si>
  <si>
    <t>к-сть роб.днів у місяці</t>
  </si>
  <si>
    <t>Ранг</t>
  </si>
  <si>
    <r>
      <t>райком</t>
    </r>
    <r>
      <rPr>
        <b/>
        <sz val="10"/>
        <rFont val="Arial"/>
        <family val="0"/>
      </rPr>
      <t xml:space="preserve"> 65%</t>
    </r>
  </si>
  <si>
    <r>
      <t xml:space="preserve">обком </t>
    </r>
    <r>
      <rPr>
        <b/>
        <sz val="10"/>
        <rFont val="Arial"/>
        <family val="0"/>
      </rPr>
      <t>35%</t>
    </r>
  </si>
  <si>
    <t>ЧФ Приват Банк</t>
  </si>
  <si>
    <t xml:space="preserve">                                   В І Д О М І С Т Ь  № </t>
  </si>
  <si>
    <t>№ п/п</t>
  </si>
  <si>
    <t>Таб.№</t>
  </si>
  <si>
    <t>Ідентифікаційний  код</t>
  </si>
  <si>
    <t>Сума</t>
  </si>
  <si>
    <t>Всього  :</t>
  </si>
  <si>
    <t xml:space="preserve"> Всього  на  суму: </t>
  </si>
  <si>
    <t>ЗАЯВКА</t>
  </si>
  <si>
    <t>НА ВИДАЧУ ГОТІВКИ ТА ПЕРЕРАХУВАННЯ КОШТІВ</t>
  </si>
  <si>
    <t>НА ВКЛАДНІ РАХУНКИ</t>
  </si>
  <si>
    <r>
      <t xml:space="preserve">на ім’я </t>
    </r>
    <r>
      <rPr>
        <sz val="12"/>
        <rFont val="Arial Cyr"/>
        <family val="0"/>
      </rPr>
      <t>_______________________________________________________________________________________</t>
    </r>
  </si>
  <si>
    <t>(прізвище, ім’я, по батькові, зразок підпису, посада)</t>
  </si>
  <si>
    <t xml:space="preserve">дані паспорта (посвідчення – для військових)   </t>
  </si>
  <si>
    <t>(грн.)</t>
  </si>
  <si>
    <t>№ з/п</t>
  </si>
  <si>
    <t>Нараховано за місяць</t>
  </si>
  <si>
    <t>Сума до виплати готівки</t>
  </si>
  <si>
    <t>Перерахування на вкладні рахунки</t>
  </si>
  <si>
    <t>Показники</t>
  </si>
  <si>
    <t>Разом</t>
  </si>
  <si>
    <t>Профспілкові внески</t>
  </si>
  <si>
    <t>Інші утримання</t>
  </si>
  <si>
    <t>Заробітної плати</t>
  </si>
  <si>
    <t>Грош. утримання</t>
  </si>
  <si>
    <t>Компенсація податку з доходів фізичних осіб</t>
  </si>
  <si>
    <t>з них:</t>
  </si>
  <si>
    <t>а) мат. допомоги</t>
  </si>
  <si>
    <t>б) лікарняних</t>
  </si>
  <si>
    <t>Належить до перерахування</t>
  </si>
  <si>
    <t>Перераховано в міжрозрахунко-вий період</t>
  </si>
  <si>
    <t>Підлягає перерахуванню</t>
  </si>
  <si>
    <t>(підпис, ініціали,  прізвище відповідальної особи розпорядника бюджетних коштів)</t>
  </si>
  <si>
    <t>Назва видатків</t>
  </si>
  <si>
    <t>КЕКВ</t>
  </si>
  <si>
    <t xml:space="preserve">Готівка
до виплати
</t>
  </si>
  <si>
    <t>Сума до перерахування на вкладні рахунки, грн.</t>
  </si>
  <si>
    <t>УСЬОГО:</t>
  </si>
  <si>
    <t>М.П.</t>
  </si>
  <si>
    <t>Штамп казначея.</t>
  </si>
  <si>
    <t>Довідка</t>
  </si>
  <si>
    <t>про суми фінансових зобов"язань*</t>
  </si>
  <si>
    <t>№  з/п</t>
  </si>
  <si>
    <t>КВК</t>
  </si>
  <si>
    <t>КПК</t>
  </si>
  <si>
    <t xml:space="preserve">Сума фінансового зобов"язання </t>
  </si>
  <si>
    <t>у т.ч.: попередня оплата</t>
  </si>
  <si>
    <t xml:space="preserve">*  Фінансові зобов"язання, які не оформлені конкретною угодою згідно з п.3.4 Порядку реєстрації зобов"язань </t>
  </si>
  <si>
    <t xml:space="preserve">   розпорядників коштів бюджету в органах Державного казначейства.</t>
  </si>
  <si>
    <t xml:space="preserve">               Керівник установи </t>
  </si>
  <si>
    <t>М.п.</t>
  </si>
  <si>
    <t xml:space="preserve">               Головний бухгалтер </t>
  </si>
  <si>
    <t xml:space="preserve">                                        Додаток 5                                  </t>
  </si>
  <si>
    <t>до Порядку обліку зобов’язань розпорядників коштів бюджету в органах Державного казначейства, затвердженого наказом Державногоказначейства України від 19.10.2000 №103  (у редакції наказу Державного казначейства України від 12.10.2001 №180)</t>
  </si>
  <si>
    <t>(назва органу Державного казначейства)</t>
  </si>
  <si>
    <t>(назва розпорядника коштів)</t>
  </si>
  <si>
    <t>010116</t>
  </si>
  <si>
    <t>Дані за 7-12 місяць</t>
  </si>
  <si>
    <t>Дані за 1-6 місяць</t>
  </si>
  <si>
    <t xml:space="preserve">Назва місяця </t>
  </si>
  <si>
    <t>№чека</t>
  </si>
  <si>
    <t>(найменування органу Державного казначейства)</t>
  </si>
  <si>
    <t>(найменування розпорядника бюджетних коштів)</t>
  </si>
  <si>
    <t xml:space="preserve">перерахувати кошти в сумі </t>
  </si>
  <si>
    <t>2) видачу готівки</t>
  </si>
  <si>
    <t>видати чек на суму</t>
  </si>
  <si>
    <t xml:space="preserve">                                                                                                                                                                   (сума)</t>
  </si>
  <si>
    <t>ІІ.Погашення простроченої заборгованості із заробітної плати</t>
  </si>
  <si>
    <t>Х</t>
  </si>
  <si>
    <r>
      <t xml:space="preserve">просить погодити </t>
    </r>
    <r>
      <rPr>
        <sz val="10"/>
        <rFont val="Times New Roman"/>
        <family val="1"/>
      </rPr>
      <t>(необхідне підкреслити)</t>
    </r>
    <r>
      <rPr>
        <sz val="12"/>
        <rFont val="Times New Roman"/>
        <family val="1"/>
      </rPr>
      <t xml:space="preserve">: 1) </t>
    </r>
    <r>
      <rPr>
        <u val="single"/>
        <sz val="12"/>
        <rFont val="Times New Roman"/>
        <family val="1"/>
      </rPr>
      <t>перерахування коштів</t>
    </r>
  </si>
  <si>
    <r>
      <t xml:space="preserve">серія </t>
    </r>
    <r>
      <rPr>
        <sz val="12"/>
        <rFont val="Arial Cyr"/>
        <family val="0"/>
      </rPr>
      <t>______</t>
    </r>
    <r>
      <rPr>
        <sz val="10"/>
        <rFont val="Arial"/>
        <family val="0"/>
      </rPr>
      <t xml:space="preserve">,   № </t>
    </r>
    <r>
      <rPr>
        <sz val="12"/>
        <rFont val="Arial Cyr"/>
        <family val="0"/>
      </rPr>
      <t>__________</t>
    </r>
    <r>
      <rPr>
        <sz val="10"/>
        <rFont val="Arial"/>
        <family val="0"/>
      </rPr>
      <t xml:space="preserve">   від _________,    виданий</t>
    </r>
    <r>
      <rPr>
        <sz val="12"/>
        <rFont val="Arial Cyr"/>
        <family val="0"/>
      </rPr>
      <t>_______________________________</t>
    </r>
  </si>
  <si>
    <t>ФОП</t>
  </si>
  <si>
    <r>
      <t xml:space="preserve">М Е М О Р І А Л Ь Н И Й    О Р Д Е Р          №   </t>
    </r>
    <r>
      <rPr>
        <u val="single"/>
        <sz val="12"/>
        <rFont val="Times New Roman"/>
        <family val="1"/>
      </rPr>
      <t xml:space="preserve"> </t>
    </r>
  </si>
  <si>
    <t>Зведення розрахункових відомостей із заробітної плати та стипендій</t>
  </si>
  <si>
    <t>М         п\п</t>
  </si>
  <si>
    <t>Зміст операції</t>
  </si>
  <si>
    <t>Дебет               субрахунку</t>
  </si>
  <si>
    <t>Кредит           субрахунку</t>
  </si>
  <si>
    <t>Нараховано заробітної плати</t>
  </si>
  <si>
    <t>Нараховано допомогу у зв’язку з тимчасовою непрацездатності</t>
  </si>
  <si>
    <r>
      <t xml:space="preserve">Нараховано єдиний внесок на загальнообов’язкове державне соціальне страхування            </t>
    </r>
    <r>
      <rPr>
        <b/>
        <sz val="9"/>
        <rFont val="Arial Cyr"/>
        <family val="2"/>
      </rPr>
      <t>36,3%</t>
    </r>
  </si>
  <si>
    <r>
      <t xml:space="preserve">Нараховано єдиний внесок на загальнообов’язкове державне соціальне страхування            </t>
    </r>
    <r>
      <rPr>
        <b/>
        <sz val="9"/>
        <rFont val="Arial Cyr"/>
        <family val="0"/>
      </rPr>
      <t>8,4</t>
    </r>
    <r>
      <rPr>
        <b/>
        <sz val="9"/>
        <rFont val="Arial Cyr"/>
        <family val="2"/>
      </rPr>
      <t>1%</t>
    </r>
  </si>
  <si>
    <r>
      <t xml:space="preserve">Нараховано єдиний внесок на загальнообов’язкове державне соціальне страхування            </t>
    </r>
    <r>
      <rPr>
        <b/>
        <sz val="9"/>
        <rFont val="Arial Cyr"/>
        <family val="2"/>
      </rPr>
      <t>33,2%</t>
    </r>
  </si>
  <si>
    <r>
      <t xml:space="preserve">Утримано прибутковий  податок з громадян                                                                                             </t>
    </r>
    <r>
      <rPr>
        <b/>
        <sz val="9"/>
        <rFont val="Arial Cyr"/>
        <family val="2"/>
      </rPr>
      <t>15%</t>
    </r>
  </si>
  <si>
    <r>
      <t xml:space="preserve">Утримано єдиний внесок на загальнообов’язкове державне соціальне страхування                 </t>
    </r>
    <r>
      <rPr>
        <b/>
        <sz val="9"/>
        <rFont val="Arial Cyr"/>
        <family val="0"/>
      </rPr>
      <t>6,1</t>
    </r>
    <r>
      <rPr>
        <b/>
        <sz val="9"/>
        <rFont val="Arial Cyr"/>
        <family val="2"/>
      </rPr>
      <t>%</t>
    </r>
  </si>
  <si>
    <r>
      <t xml:space="preserve">Утримано єдиний внесок на загальнообов’язкове державне соціальне страхування                 </t>
    </r>
    <r>
      <rPr>
        <b/>
        <sz val="9"/>
        <rFont val="Arial Cyr"/>
        <family val="0"/>
      </rPr>
      <t>3,6</t>
    </r>
    <r>
      <rPr>
        <b/>
        <sz val="9"/>
        <rFont val="Arial Cyr"/>
        <family val="2"/>
      </rPr>
      <t>%</t>
    </r>
  </si>
  <si>
    <r>
      <t xml:space="preserve">Утримано єдиний внесок на загальнообов’язкове державне соціальне страхування                 </t>
    </r>
    <r>
      <rPr>
        <b/>
        <sz val="9"/>
        <rFont val="Arial Cyr"/>
        <family val="0"/>
      </rPr>
      <t>2,0</t>
    </r>
    <r>
      <rPr>
        <b/>
        <sz val="9"/>
        <rFont val="Arial Cyr"/>
        <family val="2"/>
      </rPr>
      <t>%</t>
    </r>
  </si>
  <si>
    <r>
      <t xml:space="preserve">Утримано за безготівковим перерахунком суми членських профспілкових внесків                       </t>
    </r>
    <r>
      <rPr>
        <b/>
        <sz val="9"/>
        <rFont val="Arial Cyr"/>
        <family val="2"/>
      </rPr>
      <t>1%</t>
    </r>
  </si>
  <si>
    <t>Утримано за безготівковим перерахунком на рахунки в банки</t>
  </si>
  <si>
    <t>Усього</t>
  </si>
  <si>
    <t>Сума  оборотів  за  м/ордером</t>
  </si>
  <si>
    <t>Код функціональної класифікації,вид коштів спеціального фонду, найменування установ,що обслуговується</t>
  </si>
  <si>
    <t>№ відомості</t>
  </si>
  <si>
    <t>Аванс за першу половину місяця</t>
  </si>
  <si>
    <t xml:space="preserve">Нарахування на з/п                                    </t>
  </si>
  <si>
    <t>штатним працівникам</t>
  </si>
  <si>
    <t>позаштатним працівникам</t>
  </si>
  <si>
    <t>прибутковий податок</t>
  </si>
  <si>
    <t>єдиний внесок       6,1%</t>
  </si>
  <si>
    <t>єдиний внесок       3,6%</t>
  </si>
  <si>
    <t>єдиний внесок       2,0%</t>
  </si>
  <si>
    <t>Нараховано єдиний внесок на загальнообов’язкове державне соціальне страхування            36,3%</t>
  </si>
  <si>
    <t>Нараховано єдиний внесок на загальнообов’язкове державне соціальне страхування            8,41%</t>
  </si>
  <si>
    <t>Нараховано єдиний внесок на загальнообов’язкове державне соціальне страхування            33,2%</t>
  </si>
  <si>
    <t>010116-апарат</t>
  </si>
  <si>
    <t xml:space="preserve">Усього </t>
  </si>
  <si>
    <t>Найменування банку, № рахунку групи 257</t>
  </si>
  <si>
    <t>Дата отримання готівки</t>
  </si>
  <si>
    <t>(номер реєстраційного / спеціального реєстраційного рахунку, КПКВ)</t>
  </si>
  <si>
    <t>(писати словами)</t>
  </si>
  <si>
    <t>Заробітної плати інвалідам, що працюють</t>
  </si>
  <si>
    <t>Виплата в міжрозрахунковий період</t>
  </si>
  <si>
    <t>в) інші виплати (відпускні)</t>
  </si>
  <si>
    <t>Податок з доходів             фізичних осіб</t>
  </si>
  <si>
    <t>Єдиний внесок на загальнообов’язкове державне соціальне страхування</t>
  </si>
  <si>
    <t>Інші нарахування</t>
  </si>
  <si>
    <t>усього нараховано за розрахунковий період</t>
  </si>
  <si>
    <r>
      <t xml:space="preserve">ІІІ. Нарахування на заробітну плату**     </t>
    </r>
    <r>
      <rPr>
        <sz val="12"/>
        <rFont val="Times New Roman"/>
        <family val="1"/>
      </rPr>
      <t xml:space="preserve">                                                                                 </t>
    </r>
    <r>
      <rPr>
        <sz val="11"/>
        <rFont val="Times New Roman"/>
        <family val="1"/>
      </rPr>
      <t>(грн.)</t>
    </r>
  </si>
  <si>
    <t>Сума нарахованої  заробітної плати</t>
  </si>
  <si>
    <t>* Заповнюється лише при кінцевому розрахунку за звітний період.</t>
  </si>
  <si>
    <t>** У разі відсутності показників проставляються прочерки.</t>
  </si>
  <si>
    <t>(місяць, який слідує за розрахунковим періодом)                                                                                                                                     (сума)</t>
  </si>
  <si>
    <t>(місяць, який слідує за розрахунковим періодом)                                                                                 (сума)</t>
  </si>
  <si>
    <t>єдиний внесок на загальнообов’язкове державне соціальне страхування</t>
  </si>
  <si>
    <t>П. І. Б.</t>
  </si>
  <si>
    <t>1134-</t>
  </si>
  <si>
    <t>Разом І+ІІ+%</t>
  </si>
  <si>
    <t>Місяці</t>
  </si>
  <si>
    <t>К-сть роб. Днів</t>
  </si>
  <si>
    <t>% індексації</t>
  </si>
  <si>
    <t>Сума індексації за місяць</t>
  </si>
  <si>
    <t>Відпра цьовано днів</t>
  </si>
  <si>
    <t>Нарахо вано З/п</t>
  </si>
  <si>
    <t xml:space="preserve">нараховано індексації </t>
  </si>
  <si>
    <t>Пере-рахунок</t>
  </si>
  <si>
    <t>Головний бухгалтер</t>
  </si>
  <si>
    <t xml:space="preserve">Індексації за </t>
  </si>
  <si>
    <t>рік</t>
  </si>
  <si>
    <t>Робочі та святкові дні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</si>
  <si>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</si>
  <si>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</si>
  <si>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</si>
  <si>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</si>
  <si>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</si>
  <si>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</si>
  <si>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</si>
  <si>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</si>
  <si>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</si>
  <si>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</si>
  <si>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</si>
  <si>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</si>
  <si>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   за рік</t>
  </si>
  <si>
    <t>Кількість календарних днів</t>
  </si>
  <si>
    <t>Кількість святкових днів і днів релігійних свят (число місяця, на яке припадає свято)</t>
  </si>
  <si>
    <t>(1,7)</t>
  </si>
  <si>
    <t>(8)</t>
  </si>
  <si>
    <t>(24)</t>
  </si>
  <si>
    <t>Кількість вихідних днів</t>
  </si>
  <si>
    <t>Кількість днів, робота в які не проводиться</t>
  </si>
  <si>
    <t>Кількість  робочих днів</t>
  </si>
  <si>
    <t>Кількість днів, що передують святковим та неробочим, у які тривалість робочого дня (зміни) при 40-годинному тижні зменшується на 1 годину(число   місяця, в яке скоро- чується тривалість робочого дня)</t>
  </si>
  <si>
    <t>(7)</t>
  </si>
  <si>
    <t>(30)</t>
  </si>
  <si>
    <t>(27)</t>
  </si>
  <si>
    <t>(23)</t>
  </si>
  <si>
    <t>(31)</t>
  </si>
  <si>
    <t>Норма тривалості робочого часу в годинах при:</t>
  </si>
  <si>
    <t>40-годинному робочому тижні</t>
  </si>
  <si>
    <t>39-годинному робочому тижні</t>
  </si>
  <si>
    <t>38,5-годинному робочому тижні</t>
  </si>
  <si>
    <t>36-годишюму робочому тижні</t>
  </si>
  <si>
    <t>33-годинному робочому тижні</t>
  </si>
  <si>
    <t>30-годинному робочому тижні</t>
  </si>
  <si>
    <t>25-годинному робочому тижні</t>
  </si>
  <si>
    <t>24-годинному робочому тижні</t>
  </si>
  <si>
    <t>20-годинному робочому тижні</t>
  </si>
  <si>
    <t>18-годинному робочому тижні</t>
  </si>
  <si>
    <t>примітки</t>
  </si>
  <si>
    <t>грудня</t>
  </si>
  <si>
    <t>(1,2,5,9)</t>
  </si>
  <si>
    <t>( 23,28)</t>
  </si>
  <si>
    <t>місяць 2013 року</t>
  </si>
  <si>
    <t>Прострочена заборгованість із заробітної плати на 01_____2013________________________________________</t>
  </si>
  <si>
    <t>Заборгованість із заробітної плати на 01___2013 становить (відсутня)*_________________________________</t>
  </si>
  <si>
    <t>2013 року</t>
  </si>
  <si>
    <t>2013р.</t>
  </si>
  <si>
    <t>Оклад 1-6 місяць</t>
  </si>
  <si>
    <t xml:space="preserve">ПСП по П/П </t>
  </si>
  <si>
    <t>Стаж%</t>
  </si>
  <si>
    <t xml:space="preserve"> ПСП по п/п 100%</t>
  </si>
  <si>
    <t xml:space="preserve"> ПСП по п/п 150%</t>
  </si>
  <si>
    <t>Ідентифікаційний код</t>
  </si>
  <si>
    <t>Керівник установи:</t>
  </si>
  <si>
    <t>Головний бухгалтер:</t>
  </si>
  <si>
    <t xml:space="preserve">синтетичним даним у бухгалтерських регістрах </t>
  </si>
  <si>
    <t>Суми   за   нарахованою   заробітною   платою,   утриманням   і  нарахуванням   відповідають  аналітичним і</t>
  </si>
  <si>
    <t>для коригування</t>
  </si>
  <si>
    <t>посада</t>
  </si>
  <si>
    <t xml:space="preserve"> ПСП по п/п 200%</t>
  </si>
  <si>
    <t>01</t>
  </si>
  <si>
    <t>Заборгованість за платежами до бюджетів та єдиним внеском на загальнообов’язкове державне соціальне страхування, утриманими та нарахованими на заробітну плату,
на 01 __ 2013становить (відсутня)*_____________________________________________________________</t>
  </si>
  <si>
    <t>страхування, утриманими та нарахованими на заробітну плату,
на 01 __ 2013становить (відсутня)*_____________________________________________________________</t>
  </si>
  <si>
    <t>Додаток 33
до Порядку казначейського обслуговування державного бюджету за витратами</t>
  </si>
  <si>
    <t xml:space="preserve"> Продовження додатка 33</t>
  </si>
  <si>
    <t>Аванс</t>
  </si>
  <si>
    <r>
      <t xml:space="preserve">ЄСВ-6,1% </t>
    </r>
    <r>
      <rPr>
        <b/>
        <sz val="10"/>
        <color indexed="10"/>
        <rFont val="Arial"/>
        <family val="2"/>
      </rPr>
      <t>655</t>
    </r>
  </si>
  <si>
    <r>
      <t>ЄСВ-2,0%-</t>
    </r>
    <r>
      <rPr>
        <b/>
        <sz val="10"/>
        <color indexed="10"/>
        <rFont val="Arial"/>
        <family val="2"/>
      </rPr>
      <t>656</t>
    </r>
  </si>
  <si>
    <r>
      <t xml:space="preserve">Профвнески-       </t>
    </r>
    <r>
      <rPr>
        <b/>
        <sz val="11"/>
        <color indexed="10"/>
        <rFont val="Arial"/>
        <family val="2"/>
      </rPr>
      <t>666</t>
    </r>
  </si>
  <si>
    <t>Умова для пільги по п/п</t>
  </si>
  <si>
    <t xml:space="preserve">Заявка </t>
  </si>
  <si>
    <t>Вид податку</t>
  </si>
  <si>
    <t>ЄСВ разом</t>
  </si>
  <si>
    <r>
      <t xml:space="preserve">Готівка       - </t>
    </r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664</t>
    </r>
  </si>
  <si>
    <r>
      <t xml:space="preserve">ЄСВ  </t>
    </r>
    <r>
      <rPr>
        <sz val="10"/>
        <color indexed="10"/>
        <rFont val="Arial"/>
        <family val="2"/>
      </rPr>
      <t xml:space="preserve">із з/п   -      </t>
    </r>
    <r>
      <rPr>
        <u val="single"/>
        <sz val="10"/>
        <color indexed="10"/>
        <rFont val="Arial"/>
        <family val="2"/>
      </rPr>
      <t>655</t>
    </r>
  </si>
  <si>
    <t>комісія  банку</t>
  </si>
  <si>
    <t>Оклад7-12місяць</t>
  </si>
  <si>
    <t>Дані за 7-12місяць</t>
  </si>
  <si>
    <t xml:space="preserve">ФОП </t>
  </si>
  <si>
    <r>
      <t xml:space="preserve">ЄСВ     36,3% - </t>
    </r>
    <r>
      <rPr>
        <b/>
        <sz val="10"/>
        <color indexed="10"/>
        <rFont val="Arial"/>
        <family val="2"/>
      </rPr>
      <t>651</t>
    </r>
  </si>
  <si>
    <r>
      <t xml:space="preserve">ЄСВ    8,41% - </t>
    </r>
    <r>
      <rPr>
        <b/>
        <sz val="10"/>
        <color indexed="10"/>
        <rFont val="Arial"/>
        <family val="2"/>
      </rPr>
      <t>651/1</t>
    </r>
  </si>
  <si>
    <r>
      <t xml:space="preserve">Профв райком  -  </t>
    </r>
    <r>
      <rPr>
        <u val="single"/>
        <sz val="10"/>
        <color indexed="10"/>
        <rFont val="Arial"/>
        <family val="2"/>
      </rPr>
      <t>666</t>
    </r>
  </si>
  <si>
    <r>
      <t xml:space="preserve">Профв обком   -  </t>
    </r>
    <r>
      <rPr>
        <sz val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666</t>
    </r>
  </si>
  <si>
    <t xml:space="preserve">на  заробітну  плату  за першу половину  
</t>
  </si>
  <si>
    <t>лютого</t>
  </si>
  <si>
    <t>Назва місяця  відмінено</t>
  </si>
  <si>
    <t>квітня</t>
  </si>
  <si>
    <t xml:space="preserve">січня </t>
  </si>
  <si>
    <t>травня</t>
  </si>
  <si>
    <t>червня</t>
  </si>
  <si>
    <t>липня</t>
  </si>
  <si>
    <t>серпня</t>
  </si>
  <si>
    <t>вересня</t>
  </si>
  <si>
    <t>жовтня</t>
  </si>
  <si>
    <t>листопада</t>
  </si>
  <si>
    <t>за 1 половину місяця</t>
  </si>
  <si>
    <t>березня</t>
  </si>
  <si>
    <t>премія      за  02    місяць</t>
  </si>
  <si>
    <t>/1</t>
  </si>
  <si>
    <t>П\П</t>
  </si>
  <si>
    <t>Керівник</t>
  </si>
  <si>
    <t>бухгалтер</t>
  </si>
  <si>
    <t>Установа</t>
  </si>
  <si>
    <t>Казначейство</t>
  </si>
  <si>
    <t>ЄДРПОУ</t>
  </si>
  <si>
    <t>КФКВ</t>
  </si>
  <si>
    <t xml:space="preserve">на  заробітну  плату  за другу половину  
</t>
  </si>
  <si>
    <t>-А</t>
  </si>
  <si>
    <t>/ 1-A</t>
  </si>
  <si>
    <t>Прож. мінімум</t>
  </si>
  <si>
    <t>Умова для ПСП</t>
  </si>
  <si>
    <t>лист непрацезд.</t>
  </si>
  <si>
    <t>підприємство</t>
  </si>
  <si>
    <t>фонд</t>
  </si>
  <si>
    <t>0,15%- банку</t>
  </si>
  <si>
    <t>Аванс число</t>
  </si>
  <si>
    <t>Рік</t>
  </si>
  <si>
    <t xml:space="preserve">за </t>
  </si>
  <si>
    <t>ЄСВ 6,1%</t>
  </si>
  <si>
    <t>ЄСВ 3,6%</t>
  </si>
  <si>
    <t>ЄСВ 2,0%</t>
  </si>
  <si>
    <t>допомога на оздоровлення</t>
  </si>
  <si>
    <t>індексація за      03 місяць</t>
  </si>
  <si>
    <t>мат. допомога на вирішення соц питань</t>
  </si>
  <si>
    <t xml:space="preserve">надбавка за вислугу років </t>
  </si>
  <si>
    <t>доплата за ранг</t>
  </si>
  <si>
    <t>Сума   до перерах- ня</t>
  </si>
  <si>
    <t>ЄСВ</t>
  </si>
  <si>
    <r>
      <t xml:space="preserve">ЄСВ-3,6%  </t>
    </r>
    <r>
      <rPr>
        <b/>
        <sz val="10"/>
        <color indexed="10"/>
        <rFont val="Arial"/>
        <family val="0"/>
      </rPr>
      <t>655</t>
    </r>
  </si>
  <si>
    <r>
      <t xml:space="preserve">ЄСВ    8,41% - </t>
    </r>
    <r>
      <rPr>
        <b/>
        <sz val="10"/>
        <color indexed="10"/>
        <rFont val="Arial"/>
        <family val="2"/>
      </rPr>
      <t>651</t>
    </r>
  </si>
  <si>
    <t xml:space="preserve">Розрахунково-платіжна відомість № </t>
  </si>
  <si>
    <t>код</t>
  </si>
  <si>
    <t>№ рахунку</t>
  </si>
  <si>
    <t>№ рахунку в банку</t>
  </si>
  <si>
    <t>Прострочена заборгованість із заробітної плати** на 01_____2013*________________________________________</t>
  </si>
  <si>
    <t>(номер реєстраційного / спеціального реєстраційного рахунку, КПКВК)</t>
  </si>
  <si>
    <t>(мета, суми в розрізі кодів економічної класифікації видатків бюджету)</t>
  </si>
  <si>
    <t>І. Розрахункова   відомість   із   заробітної  плати**   за</t>
  </si>
  <si>
    <t>Податок на доходи             фізичних осіб</t>
  </si>
  <si>
    <t>Виплати в між- розрахунковий період**</t>
  </si>
  <si>
    <t>ІІ.Погашення простроченої заборгованості із заробітної плати**</t>
  </si>
  <si>
    <r>
      <t>IV.Виплата готівки на інші видатки:                                                                                                   (</t>
    </r>
    <r>
      <rPr>
        <sz val="10"/>
        <rFont val="Arial"/>
        <family val="2"/>
      </rPr>
      <t>грн.)</t>
    </r>
  </si>
  <si>
    <t>Сума до перерахування на вкладні рахунки</t>
  </si>
  <si>
    <r>
      <t>Нарахована 2111-</t>
    </r>
    <r>
      <rPr>
        <b/>
        <sz val="10"/>
        <color indexed="10"/>
        <rFont val="Arial"/>
        <family val="2"/>
      </rPr>
      <t>661</t>
    </r>
  </si>
  <si>
    <r>
      <t xml:space="preserve">ЄСВ       33,2% - </t>
    </r>
    <r>
      <rPr>
        <b/>
        <sz val="10"/>
        <color indexed="10"/>
        <rFont val="Arial"/>
        <family val="2"/>
      </rPr>
      <t>653</t>
    </r>
  </si>
  <si>
    <t>2111+2120</t>
  </si>
  <si>
    <r>
      <t>2120 -</t>
    </r>
    <r>
      <rPr>
        <b/>
        <sz val="10"/>
        <rFont val="Arial"/>
        <family val="2"/>
      </rPr>
      <t>ЄСВ разом</t>
    </r>
  </si>
  <si>
    <t>з/п</t>
  </si>
  <si>
    <t>П/п</t>
  </si>
  <si>
    <t>Інваліди - заявка</t>
  </si>
  <si>
    <t>2 пол.   число</t>
  </si>
  <si>
    <r>
      <t xml:space="preserve">ЄСВ       33,2% - </t>
    </r>
    <r>
      <rPr>
        <b/>
        <sz val="10"/>
        <color indexed="10"/>
        <rFont val="Arial"/>
        <family val="2"/>
      </rPr>
      <t>652</t>
    </r>
  </si>
  <si>
    <t>Головний  бухгалтер</t>
  </si>
  <si>
    <r>
      <t xml:space="preserve">ЄСВ </t>
    </r>
    <r>
      <rPr>
        <sz val="9"/>
        <color indexed="10"/>
        <rFont val="Arial"/>
        <family val="0"/>
      </rPr>
      <t xml:space="preserve">на з/п     -   </t>
    </r>
    <r>
      <rPr>
        <u val="single"/>
        <sz val="9"/>
        <color indexed="10"/>
        <rFont val="Arial"/>
        <family val="0"/>
      </rPr>
      <t xml:space="preserve"> 651</t>
    </r>
  </si>
  <si>
    <t>рах</t>
  </si>
  <si>
    <t>аванс</t>
  </si>
  <si>
    <r>
      <t xml:space="preserve">П/п           -   </t>
    </r>
    <r>
      <rPr>
        <sz val="9"/>
        <color indexed="10"/>
        <rFont val="Arial"/>
        <family val="0"/>
      </rPr>
      <t xml:space="preserve">       </t>
    </r>
    <r>
      <rPr>
        <u val="single"/>
        <sz val="9"/>
        <color indexed="10"/>
        <rFont val="Arial"/>
        <family val="0"/>
      </rPr>
      <t>641</t>
    </r>
  </si>
  <si>
    <t xml:space="preserve">Нараховано </t>
  </si>
  <si>
    <t>Звіряє із Заявка</t>
  </si>
  <si>
    <t>Звіряє із ЗаявкаА</t>
  </si>
  <si>
    <t>Інваліди</t>
  </si>
  <si>
    <t>В Чорн заповнюємо № та КФКВ, а токож клітини кавового кольору</t>
  </si>
  <si>
    <t>Заповнюєм в Дані клітини, які  незаблоковані.При додаткових пільгах по ПСП змінюємо відповідну формулу. ЄСВ 6,1%=1; 3,6=0</t>
  </si>
  <si>
    <t>Всі необхідні коригування можна проводити в Корег</t>
  </si>
  <si>
    <t>Мабудь все. Удачі!</t>
  </si>
  <si>
    <t>Заповнюємо табель.</t>
  </si>
  <si>
    <t>Знято за січень та лютий Іванов</t>
  </si>
  <si>
    <t>перерах Іванов</t>
  </si>
  <si>
    <t>перерах Смірнов</t>
  </si>
  <si>
    <t>В стовпчику Z перевіряємо відхилиння % від загального ФОП</t>
  </si>
  <si>
    <t>посадовий оклад</t>
  </si>
  <si>
    <t>Розрахунок зарплати за</t>
  </si>
  <si>
    <t>УДКСУ  у   районі</t>
  </si>
  <si>
    <t xml:space="preserve"> сільська  рада</t>
  </si>
  <si>
    <t>35414001******,</t>
  </si>
  <si>
    <t>35415018******,</t>
  </si>
  <si>
    <t>Іваанов</t>
  </si>
  <si>
    <t>сідоров</t>
  </si>
  <si>
    <t>Енецької сільської ради</t>
  </si>
  <si>
    <t>БНТ с. Енськ</t>
  </si>
  <si>
    <t>0441*****</t>
  </si>
  <si>
    <t xml:space="preserve">При зміні КФКВ краще робити це в другому файлі, щоб була можливість скористатися п.2,  та скопіювати рядки41-55в рядоки 26-40. </t>
  </si>
  <si>
    <t>Закриваємо і копіюємо даний файл в папку 2013, та  перейменовуємо на № місяця, який хочемо розрахувати.  В подальшому це дасть можливість вибирати дані  з/п  по  кожному працівнику та заповнити особову кортку, чи дані по ФОП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</si>
</sst>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грн.&quot;"/>
    <numFmt numFmtId="189" formatCode="[$-422]d\ mmmm\ yyyy&quot; р.&quot;"/>
    <numFmt numFmtId="190" formatCode="#,##0.00_ ;\-#,##0.00\ 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E+00"/>
    <numFmt numFmtId="197" formatCode="0.0"/>
    <numFmt numFmtId="198" formatCode="#,##0.00_р_."/>
    <numFmt numFmtId="199" formatCode="[$-FC19]d\ mmmm\ yyyy\ &quot;г.&quot;"/>
    <numFmt numFmtId="200" formatCode="0.00_ ;\-0.00\ "/>
    <numFmt numFmtId="201" formatCode="###0.00;\-###0.00;#&quot;-&quot;"/>
    <numFmt numFmtId="202" formatCode="###0;\-###0;#&quot;-&quot;"/>
    <numFmt numFmtId="203" formatCode="###0.0;\-###0.0;#&quot;-&quot;"/>
    <numFmt numFmtId="204" formatCode="###0.00;#&quot;-&quot;"/>
    <numFmt numFmtId="205" formatCode="###0.00;\-###0.00;&quot;-&quot;"/>
    <numFmt numFmtId="206" formatCode="###0.00;\-###0.00;#0&quot;-&quot;"/>
    <numFmt numFmtId="207" formatCode="#,##0;\-#,##0;#,&quot;-&quot;"/>
    <numFmt numFmtId="208" formatCode="###0;\-###0;"/>
    <numFmt numFmtId="209" formatCode="###0.00;\-###0.00;"/>
    <numFmt numFmtId="210" formatCode="###0;\-###0;#,&quot;-&quot;"/>
    <numFmt numFmtId="211" formatCode="#,##0;\-#,##0;&quot;-&quot;"/>
    <numFmt numFmtId="212" formatCode="#,##0;\-#,##0;"/>
    <numFmt numFmtId="213" formatCode="#,##0;\-#,##0;#"/>
    <numFmt numFmtId="214" formatCode="###0;\-###0;&quot;-&quot;"/>
    <numFmt numFmtId="215" formatCode="###0,;\-###0,;#&quot;-&quot;"/>
  </numFmts>
  <fonts count="10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4"/>
      <name val="Arial"/>
      <family val="0"/>
    </font>
    <font>
      <i/>
      <u val="single"/>
      <sz val="14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i/>
      <u val="single"/>
      <sz val="12"/>
      <name val="Arial"/>
      <family val="0"/>
    </font>
    <font>
      <i/>
      <sz val="12"/>
      <name val="Arial"/>
      <family val="2"/>
    </font>
    <font>
      <sz val="16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i/>
      <sz val="14"/>
      <name val="Times New Roman"/>
      <family val="1"/>
    </font>
    <font>
      <sz val="6"/>
      <name val="Arial Cyr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b/>
      <sz val="10.5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7"/>
      <name val="Arial Cyr"/>
      <family val="0"/>
    </font>
    <font>
      <b/>
      <sz val="12"/>
      <name val="Times New Roman"/>
      <family val="1"/>
    </font>
    <font>
      <sz val="6"/>
      <name val="Arial"/>
      <family val="0"/>
    </font>
    <font>
      <b/>
      <i/>
      <sz val="14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sz val="12"/>
      <name val="Arial Cyr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9"/>
      <color indexed="10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6"/>
      <name val="Arial Cyr"/>
      <family val="0"/>
    </font>
    <font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0"/>
    </font>
    <font>
      <i/>
      <u val="single"/>
      <sz val="10"/>
      <color indexed="10"/>
      <name val="Arial"/>
      <family val="2"/>
    </font>
    <font>
      <u val="single"/>
      <sz val="10"/>
      <name val="Arial"/>
      <family val="0"/>
    </font>
    <font>
      <b/>
      <u val="single"/>
      <sz val="10"/>
      <color indexed="10"/>
      <name val="Arial"/>
      <family val="2"/>
    </font>
    <font>
      <u val="single"/>
      <sz val="9"/>
      <name val="Arial"/>
      <family val="0"/>
    </font>
    <font>
      <b/>
      <u val="single"/>
      <sz val="11"/>
      <name val="Times New Roman"/>
      <family val="1"/>
    </font>
    <font>
      <u val="single"/>
      <sz val="12"/>
      <name val="Arial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.5"/>
      <name val="Arial"/>
      <family val="0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0"/>
    </font>
    <font>
      <sz val="11"/>
      <color indexed="10"/>
      <name val="Arial"/>
      <family val="0"/>
    </font>
    <font>
      <sz val="12"/>
      <color indexed="10"/>
      <name val="Arial"/>
      <family val="0"/>
    </font>
    <font>
      <u val="single"/>
      <sz val="12"/>
      <color indexed="10"/>
      <name val="Arial"/>
      <family val="0"/>
    </font>
    <font>
      <u val="single"/>
      <sz val="9"/>
      <color indexed="10"/>
      <name val="Arial"/>
      <family val="0"/>
    </font>
    <font>
      <b/>
      <i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9" borderId="0" applyNumberFormat="0" applyBorder="0" applyAlignment="0" applyProtection="0"/>
    <xf numFmtId="0" fontId="60" fillId="7" borderId="1" applyNumberFormat="0" applyAlignment="0" applyProtection="0"/>
    <xf numFmtId="0" fontId="61" fillId="20" borderId="2" applyNumberFormat="0" applyAlignment="0" applyProtection="0"/>
    <xf numFmtId="0" fontId="6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4" fillId="21" borderId="7" applyNumberFormat="0" applyAlignment="0" applyProtection="0"/>
    <xf numFmtId="0" fontId="53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9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shrinkToFit="1"/>
    </xf>
    <xf numFmtId="19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6" fillId="0" borderId="0" xfId="53" applyFont="1" applyAlignment="1" applyProtection="1">
      <alignment horizontal="center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1" fontId="6" fillId="0" borderId="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textRotation="90" wrapText="1" shrinkToFi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 shrinkToFit="1"/>
      <protection/>
    </xf>
    <xf numFmtId="171" fontId="7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91" fontId="0" fillId="0" borderId="0" xfId="0" applyNumberForma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 wrapText="1"/>
      <protection/>
    </xf>
    <xf numFmtId="191" fontId="0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0" fillId="0" borderId="10" xfId="0" applyNumberFormat="1" applyFont="1" applyBorder="1" applyAlignment="1" applyProtection="1">
      <alignment vertical="center" wrapText="1"/>
      <protection/>
    </xf>
    <xf numFmtId="191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1" fontId="12" fillId="0" borderId="12" xfId="0" applyNumberFormat="1" applyFont="1" applyBorder="1" applyAlignment="1" applyProtection="1">
      <alignment horizontal="center" vertical="center" shrinkToFit="1"/>
      <protection locked="0"/>
    </xf>
    <xf numFmtId="1" fontId="0" fillId="0" borderId="12" xfId="0" applyNumberForma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"/>
      <protection/>
    </xf>
    <xf numFmtId="6" fontId="23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 horizontal="justify"/>
      <protection/>
    </xf>
    <xf numFmtId="0" fontId="0" fillId="0" borderId="13" xfId="0" applyBorder="1" applyAlignment="1">
      <alignment/>
    </xf>
    <xf numFmtId="0" fontId="15" fillId="0" borderId="0" xfId="0" applyFont="1" applyAlignment="1">
      <alignment horizontal="justify"/>
    </xf>
    <xf numFmtId="0" fontId="21" fillId="0" borderId="0" xfId="0" applyFont="1" applyAlignment="1" applyProtection="1">
      <alignment horizontal="right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24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 vertical="distributed" wrapText="1"/>
    </xf>
    <xf numFmtId="0" fontId="0" fillId="0" borderId="14" xfId="0" applyBorder="1" applyAlignment="1">
      <alignment/>
    </xf>
    <xf numFmtId="0" fontId="40" fillId="0" borderId="14" xfId="0" applyFont="1" applyBorder="1" applyAlignment="1">
      <alignment horizontal="center" vertical="distributed" wrapText="1"/>
    </xf>
    <xf numFmtId="0" fontId="40" fillId="0" borderId="10" xfId="0" applyFont="1" applyBorder="1" applyAlignment="1">
      <alignment horizontal="center" vertical="distributed" wrapText="1"/>
    </xf>
    <xf numFmtId="0" fontId="40" fillId="0" borderId="0" xfId="0" applyFont="1" applyAlignment="1">
      <alignment vertical="distributed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 vertical="justify"/>
    </xf>
    <xf numFmtId="0" fontId="15" fillId="0" borderId="0" xfId="0" applyFont="1" applyAlignment="1">
      <alignment/>
    </xf>
    <xf numFmtId="0" fontId="31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2" fontId="39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top" wrapText="1"/>
    </xf>
    <xf numFmtId="2" fontId="39" fillId="0" borderId="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91" fontId="0" fillId="0" borderId="15" xfId="0" applyNumberFormat="1" applyBorder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42" fillId="0" borderId="0" xfId="0" applyFont="1" applyAlignment="1">
      <alignment/>
    </xf>
    <xf numFmtId="2" fontId="52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/>
    </xf>
    <xf numFmtId="1" fontId="6" fillId="0" borderId="15" xfId="0" applyNumberFormat="1" applyFont="1" applyBorder="1" applyAlignment="1" applyProtection="1">
      <alignment vertical="center" shrinkToFi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wrapText="1"/>
    </xf>
    <xf numFmtId="1" fontId="0" fillId="0" borderId="17" xfId="0" applyNumberFormat="1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vertical="center"/>
      <protection/>
    </xf>
    <xf numFmtId="2" fontId="6" fillId="0" borderId="18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0" fillId="0" borderId="19" xfId="0" applyBorder="1" applyAlignment="1">
      <alignment horizontal="center"/>
    </xf>
    <xf numFmtId="191" fontId="6" fillId="0" borderId="2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2" fontId="0" fillId="0" borderId="21" xfId="0" applyNumberForma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1" fillId="24" borderId="10" xfId="0" applyFont="1" applyFill="1" applyBorder="1" applyAlignment="1" applyProtection="1">
      <alignment horizontal="center" vertical="center" wrapText="1"/>
      <protection/>
    </xf>
    <xf numFmtId="0" fontId="71" fillId="24" borderId="10" xfId="0" applyFont="1" applyFill="1" applyBorder="1" applyAlignment="1" applyProtection="1">
      <alignment horizontal="left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1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22" xfId="0" applyFont="1" applyFill="1" applyBorder="1" applyAlignment="1" applyProtection="1">
      <alignment horizontal="center" vertical="center" wrapText="1"/>
      <protection/>
    </xf>
    <xf numFmtId="49" fontId="7" fillId="24" borderId="14" xfId="0" applyNumberFormat="1" applyFont="1" applyFill="1" applyBorder="1" applyAlignment="1" applyProtection="1">
      <alignment horizontal="center" vertical="center" wrapText="1"/>
      <protection/>
    </xf>
    <xf numFmtId="0" fontId="73" fillId="24" borderId="23" xfId="0" applyFont="1" applyFill="1" applyBorder="1" applyAlignment="1" applyProtection="1">
      <alignment horizontal="center" wrapText="1"/>
      <protection/>
    </xf>
    <xf numFmtId="0" fontId="74" fillId="24" borderId="23" xfId="0" applyFont="1" applyFill="1" applyBorder="1" applyAlignment="1" applyProtection="1">
      <alignment wrapText="1"/>
      <protection/>
    </xf>
    <xf numFmtId="0" fontId="74" fillId="24" borderId="14" xfId="0" applyFont="1" applyFill="1" applyBorder="1" applyAlignment="1" applyProtection="1">
      <alignment horizontal="center" wrapText="1"/>
      <protection/>
    </xf>
    <xf numFmtId="0" fontId="71" fillId="24" borderId="14" xfId="0" applyFont="1" applyFill="1" applyBorder="1" applyAlignment="1" applyProtection="1">
      <alignment wrapText="1"/>
      <protection/>
    </xf>
    <xf numFmtId="0" fontId="74" fillId="24" borderId="10" xfId="0" applyFont="1" applyFill="1" applyBorder="1" applyAlignment="1" applyProtection="1">
      <alignment horizontal="center" wrapText="1"/>
      <protection/>
    </xf>
    <xf numFmtId="0" fontId="71" fillId="24" borderId="10" xfId="0" applyFont="1" applyFill="1" applyBorder="1" applyAlignment="1" applyProtection="1">
      <alignment wrapText="1"/>
      <protection/>
    </xf>
    <xf numFmtId="0" fontId="74" fillId="24" borderId="22" xfId="0" applyFont="1" applyFill="1" applyBorder="1" applyAlignment="1" applyProtection="1">
      <alignment horizontal="center" wrapText="1"/>
      <protection/>
    </xf>
    <xf numFmtId="0" fontId="71" fillId="24" borderId="22" xfId="0" applyFont="1" applyFill="1" applyBorder="1" applyAlignment="1" applyProtection="1">
      <alignment wrapText="1"/>
      <protection/>
    </xf>
    <xf numFmtId="0" fontId="74" fillId="24" borderId="23" xfId="0" applyFont="1" applyFill="1" applyBorder="1" applyAlignment="1" applyProtection="1">
      <alignment horizontal="center" wrapText="1"/>
      <protection/>
    </xf>
    <xf numFmtId="0" fontId="71" fillId="24" borderId="23" xfId="0" applyFont="1" applyFill="1" applyBorder="1" applyAlignment="1" applyProtection="1">
      <alignment wrapText="1"/>
      <protection/>
    </xf>
    <xf numFmtId="197" fontId="74" fillId="24" borderId="23" xfId="0" applyNumberFormat="1" applyFont="1" applyFill="1" applyBorder="1" applyAlignment="1" applyProtection="1">
      <alignment horizontal="center" vertical="center" wrapText="1"/>
      <protection/>
    </xf>
    <xf numFmtId="197" fontId="5" fillId="24" borderId="10" xfId="0" applyNumberFormat="1" applyFont="1" applyFill="1" applyBorder="1" applyAlignment="1" applyProtection="1">
      <alignment horizontal="center" vertical="center" wrapText="1"/>
      <protection/>
    </xf>
    <xf numFmtId="197" fontId="5" fillId="24" borderId="14" xfId="0" applyNumberFormat="1" applyFont="1" applyFill="1" applyBorder="1" applyAlignment="1" applyProtection="1">
      <alignment horizontal="center" vertical="center" wrapText="1"/>
      <protection/>
    </xf>
    <xf numFmtId="197" fontId="71" fillId="24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3" fillId="0" borderId="0" xfId="0" applyFont="1" applyAlignment="1">
      <alignment vertical="center"/>
    </xf>
    <xf numFmtId="0" fontId="18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2" fontId="7" fillId="25" borderId="0" xfId="0" applyNumberFormat="1" applyFont="1" applyFill="1" applyBorder="1" applyAlignment="1" applyProtection="1">
      <alignment horizontal="center" vertical="center"/>
      <protection locked="0"/>
    </xf>
    <xf numFmtId="201" fontId="5" fillId="0" borderId="10" xfId="0" applyNumberFormat="1" applyFont="1" applyBorder="1" applyAlignment="1" applyProtection="1">
      <alignment horizontal="center" vertical="center" shrinkToFit="1"/>
      <protection/>
    </xf>
    <xf numFmtId="201" fontId="39" fillId="0" borderId="10" xfId="0" applyNumberFormat="1" applyFont="1" applyBorder="1" applyAlignment="1" applyProtection="1">
      <alignment horizontal="center" vertical="center" wrapText="1"/>
      <protection/>
    </xf>
    <xf numFmtId="201" fontId="39" fillId="0" borderId="10" xfId="0" applyNumberFormat="1" applyFont="1" applyBorder="1" applyAlignment="1">
      <alignment horizontal="center" vertical="center" wrapText="1"/>
    </xf>
    <xf numFmtId="201" fontId="39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203" fontId="0" fillId="0" borderId="10" xfId="0" applyNumberFormat="1" applyFont="1" applyBorder="1" applyAlignment="1" applyProtection="1">
      <alignment horizontal="center"/>
      <protection locked="0"/>
    </xf>
    <xf numFmtId="201" fontId="16" fillId="0" borderId="10" xfId="0" applyNumberFormat="1" applyFont="1" applyBorder="1" applyAlignment="1" applyProtection="1">
      <alignment horizontal="center" vertical="center" shrinkToFit="1"/>
      <protection/>
    </xf>
    <xf numFmtId="201" fontId="5" fillId="0" borderId="10" xfId="0" applyNumberFormat="1" applyFont="1" applyFill="1" applyBorder="1" applyAlignment="1" applyProtection="1">
      <alignment horizontal="center" vertical="center" shrinkToFit="1"/>
      <protection/>
    </xf>
    <xf numFmtId="201" fontId="0" fillId="0" borderId="0" xfId="0" applyNumberFormat="1" applyBorder="1" applyAlignment="1" applyProtection="1">
      <alignment horizontal="center" vertical="center"/>
      <protection/>
    </xf>
    <xf numFmtId="201" fontId="0" fillId="0" borderId="0" xfId="0" applyNumberFormat="1" applyFont="1" applyBorder="1" applyAlignment="1" applyProtection="1">
      <alignment horizontal="center" vertical="center" wrapText="1"/>
      <protection/>
    </xf>
    <xf numFmtId="201" fontId="4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15" xfId="0" applyNumberFormat="1" applyFont="1" applyBorder="1" applyAlignment="1" applyProtection="1">
      <alignment horizontal="center" vertical="center"/>
      <protection/>
    </xf>
    <xf numFmtId="201" fontId="0" fillId="0" borderId="24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201" fontId="0" fillId="0" borderId="0" xfId="0" applyNumberFormat="1" applyFont="1" applyBorder="1" applyAlignment="1" applyProtection="1">
      <alignment vertical="center" wrapText="1"/>
      <protection/>
    </xf>
    <xf numFmtId="201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201" fontId="6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10" xfId="0" applyNumberFormat="1" applyBorder="1" applyAlignment="1" applyProtection="1">
      <alignment horizontal="center" vertical="center" wrapText="1"/>
      <protection/>
    </xf>
    <xf numFmtId="191" fontId="6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" fontId="6" fillId="0" borderId="0" xfId="0" applyNumberFormat="1" applyFont="1" applyBorder="1" applyAlignment="1" applyProtection="1">
      <alignment horizontal="center" vertical="center" wrapText="1"/>
      <protection/>
    </xf>
    <xf numFmtId="201" fontId="5" fillId="0" borderId="0" xfId="0" applyNumberFormat="1" applyFont="1" applyBorder="1" applyAlignment="1" applyProtection="1">
      <alignment horizontal="center" vertical="center" wrapText="1"/>
      <protection/>
    </xf>
    <xf numFmtId="201" fontId="82" fillId="0" borderId="1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 applyProtection="1">
      <alignment vertical="center" wrapText="1"/>
      <protection/>
    </xf>
    <xf numFmtId="2" fontId="0" fillId="0" borderId="0" xfId="0" applyNumberFormat="1" applyFont="1" applyBorder="1" applyAlignment="1" applyProtection="1">
      <alignment vertical="center" wrapText="1"/>
      <protection/>
    </xf>
    <xf numFmtId="201" fontId="0" fillId="0" borderId="0" xfId="0" applyNumberFormat="1" applyBorder="1" applyAlignment="1" applyProtection="1">
      <alignment vertical="center"/>
      <protection/>
    </xf>
    <xf numFmtId="202" fontId="86" fillId="0" borderId="10" xfId="0" applyNumberFormat="1" applyFont="1" applyBorder="1" applyAlignment="1" applyProtection="1">
      <alignment horizontal="center" vertical="center" wrapText="1"/>
      <protection/>
    </xf>
    <xf numFmtId="202" fontId="0" fillId="0" borderId="0" xfId="0" applyNumberFormat="1" applyBorder="1" applyAlignment="1" applyProtection="1">
      <alignment horizontal="right" vertical="center"/>
      <protection/>
    </xf>
    <xf numFmtId="2" fontId="7" fillId="0" borderId="0" xfId="0" applyNumberFormat="1" applyFont="1" applyFill="1" applyAlignment="1">
      <alignment/>
    </xf>
    <xf numFmtId="6" fontId="87" fillId="0" borderId="0" xfId="0" applyNumberFormat="1" applyFont="1" applyAlignment="1" applyProtection="1">
      <alignment horizontal="center"/>
      <protection/>
    </xf>
    <xf numFmtId="201" fontId="76" fillId="0" borderId="19" xfId="0" applyNumberFormat="1" applyFont="1" applyBorder="1" applyAlignment="1">
      <alignment horizontal="center"/>
    </xf>
    <xf numFmtId="201" fontId="14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 applyProtection="1">
      <alignment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left" vertical="center"/>
      <protection locked="0"/>
    </xf>
    <xf numFmtId="201" fontId="52" fillId="0" borderId="0" xfId="0" applyNumberFormat="1" applyFont="1" applyFill="1" applyBorder="1" applyAlignment="1" applyProtection="1">
      <alignment vertical="center"/>
      <protection/>
    </xf>
    <xf numFmtId="201" fontId="0" fillId="0" borderId="0" xfId="0" applyNumberFormat="1" applyFill="1" applyBorder="1" applyAlignment="1" applyProtection="1">
      <alignment vertical="center"/>
      <protection/>
    </xf>
    <xf numFmtId="207" fontId="7" fillId="0" borderId="10" xfId="0" applyNumberFormat="1" applyFont="1" applyBorder="1" applyAlignment="1" applyProtection="1">
      <alignment horizontal="center" vertical="center" shrinkToFit="1"/>
      <protection/>
    </xf>
    <xf numFmtId="1" fontId="28" fillId="0" borderId="26" xfId="0" applyNumberFormat="1" applyFont="1" applyBorder="1" applyAlignment="1">
      <alignment vertical="center"/>
    </xf>
    <xf numFmtId="2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/>
    </xf>
    <xf numFmtId="0" fontId="8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18" fillId="0" borderId="0" xfId="0" applyFont="1" applyBorder="1" applyAlignment="1" applyProtection="1">
      <alignment vertical="center"/>
      <protection/>
    </xf>
    <xf numFmtId="1" fontId="84" fillId="0" borderId="14" xfId="0" applyNumberFormat="1" applyFont="1" applyBorder="1" applyAlignment="1" applyProtection="1">
      <alignment horizontal="center" vertical="center" wrapText="1"/>
      <protection/>
    </xf>
    <xf numFmtId="0" fontId="19" fillId="15" borderId="13" xfId="0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 wrapText="1"/>
    </xf>
    <xf numFmtId="0" fontId="3" fillId="0" borderId="10" xfId="0" applyNumberFormat="1" applyFont="1" applyBorder="1" applyAlignment="1">
      <alignment horizontal="center"/>
    </xf>
    <xf numFmtId="205" fontId="2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208" fontId="22" fillId="0" borderId="0" xfId="0" applyNumberFormat="1" applyFont="1" applyAlignment="1" applyProtection="1">
      <alignment horizontal="left"/>
      <protection/>
    </xf>
    <xf numFmtId="208" fontId="19" fillId="0" borderId="13" xfId="0" applyNumberFormat="1" applyFont="1" applyBorder="1" applyAlignment="1" applyProtection="1">
      <alignment horizontal="left"/>
      <protection/>
    </xf>
    <xf numFmtId="1" fontId="84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191" fontId="0" fillId="0" borderId="21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191" fontId="0" fillId="0" borderId="21" xfId="0" applyNumberFormat="1" applyBorder="1" applyAlignment="1" applyProtection="1">
      <alignment vertical="center"/>
      <protection/>
    </xf>
    <xf numFmtId="191" fontId="0" fillId="0" borderId="12" xfId="0" applyNumberFormat="1" applyBorder="1" applyAlignment="1" applyProtection="1">
      <alignment vertical="center"/>
      <protection/>
    </xf>
    <xf numFmtId="201" fontId="0" fillId="0" borderId="13" xfId="0" applyNumberFormat="1" applyBorder="1" applyAlignment="1" applyProtection="1">
      <alignment horizontal="center" vertical="center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191" fontId="0" fillId="0" borderId="27" xfId="0" applyNumberFormat="1" applyBorder="1" applyAlignment="1" applyProtection="1">
      <alignment horizontal="center" vertical="center"/>
      <protection/>
    </xf>
    <xf numFmtId="191" fontId="0" fillId="0" borderId="28" xfId="0" applyNumberFormat="1" applyBorder="1" applyAlignment="1" applyProtection="1">
      <alignment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201" fontId="52" fillId="0" borderId="20" xfId="0" applyNumberFormat="1" applyFont="1" applyFill="1" applyBorder="1" applyAlignment="1" applyProtection="1">
      <alignment horizontal="center" vertical="center"/>
      <protection/>
    </xf>
    <xf numFmtId="202" fontId="86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10" xfId="0" applyNumberFormat="1" applyFont="1" applyBorder="1" applyAlignment="1" applyProtection="1">
      <alignment horizontal="center" vertical="center"/>
      <protection/>
    </xf>
    <xf numFmtId="205" fontId="52" fillId="25" borderId="10" xfId="0" applyNumberFormat="1" applyFont="1" applyFill="1" applyBorder="1" applyAlignment="1" applyProtection="1">
      <alignment horizontal="center" vertical="center" wrapText="1"/>
      <protection/>
    </xf>
    <xf numFmtId="205" fontId="52" fillId="15" borderId="10" xfId="0" applyNumberFormat="1" applyFont="1" applyFill="1" applyBorder="1" applyAlignment="1" applyProtection="1">
      <alignment horizontal="center" vertical="center" wrapText="1"/>
      <protection/>
    </xf>
    <xf numFmtId="205" fontId="0" fillId="0" borderId="10" xfId="53" applyNumberFormat="1" applyBorder="1" applyAlignment="1" applyProtection="1">
      <alignment horizontal="center" vertical="center" wrapText="1"/>
      <protection/>
    </xf>
    <xf numFmtId="205" fontId="52" fillId="25" borderId="10" xfId="0" applyNumberFormat="1" applyFont="1" applyFill="1" applyBorder="1" applyAlignment="1" applyProtection="1">
      <alignment horizontal="center"/>
      <protection/>
    </xf>
    <xf numFmtId="205" fontId="52" fillId="15" borderId="10" xfId="0" applyNumberFormat="1" applyFont="1" applyFill="1" applyBorder="1" applyAlignment="1" applyProtection="1">
      <alignment horizontal="center"/>
      <protection/>
    </xf>
    <xf numFmtId="0" fontId="90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88" fillId="0" borderId="0" xfId="0" applyNumberFormat="1" applyFont="1" applyFill="1" applyAlignment="1" applyProtection="1">
      <alignment horizontal="center" vertical="center"/>
      <protection/>
    </xf>
    <xf numFmtId="49" fontId="52" fillId="0" borderId="0" xfId="0" applyNumberFormat="1" applyFont="1" applyFill="1" applyAlignment="1" applyProtection="1">
      <alignment horizontal="center" vertical="center"/>
      <protection/>
    </xf>
    <xf numFmtId="49" fontId="79" fillId="0" borderId="0" xfId="0" applyNumberFormat="1" applyFont="1" applyFill="1" applyAlignment="1" applyProtection="1">
      <alignment horizontal="center" vertical="center"/>
      <protection/>
    </xf>
    <xf numFmtId="49" fontId="0" fillId="26" borderId="21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25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49" fontId="88" fillId="25" borderId="10" xfId="0" applyNumberFormat="1" applyFont="1" applyFill="1" applyBorder="1" applyAlignment="1" applyProtection="1">
      <alignment horizontal="center" vertical="center"/>
      <protection/>
    </xf>
    <xf numFmtId="49" fontId="88" fillId="26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13" fillId="0" borderId="0" xfId="0" applyFont="1" applyBorder="1" applyAlignment="1">
      <alignment vertical="center"/>
    </xf>
    <xf numFmtId="208" fontId="91" fillId="0" borderId="10" xfId="0" applyNumberFormat="1" applyFont="1" applyBorder="1" applyAlignment="1" applyProtection="1">
      <alignment horizontal="justify" vertical="center" shrinkToFit="1"/>
      <protection/>
    </xf>
    <xf numFmtId="202" fontId="52" fillId="0" borderId="0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/>
      <protection/>
    </xf>
    <xf numFmtId="207" fontId="7" fillId="15" borderId="0" xfId="0" applyNumberFormat="1" applyFont="1" applyFill="1" applyBorder="1" applyAlignment="1" applyProtection="1">
      <alignment horizontal="left"/>
      <protection/>
    </xf>
    <xf numFmtId="191" fontId="0" fillId="0" borderId="0" xfId="0" applyNumberFormat="1" applyFont="1" applyBorder="1" applyAlignment="1" applyProtection="1">
      <alignment vertical="center" wrapText="1"/>
      <protection/>
    </xf>
    <xf numFmtId="201" fontId="0" fillId="0" borderId="0" xfId="0" applyNumberFormat="1" applyFont="1" applyBorder="1" applyAlignment="1" applyProtection="1">
      <alignment vertical="center" wrapText="1"/>
      <protection/>
    </xf>
    <xf numFmtId="0" fontId="19" fillId="15" borderId="13" xfId="0" applyFont="1" applyFill="1" applyBorder="1" applyAlignment="1" applyProtection="1">
      <alignment horizontal="right"/>
      <protection/>
    </xf>
    <xf numFmtId="202" fontId="52" fillId="0" borderId="0" xfId="0" applyNumberFormat="1" applyFont="1" applyFill="1" applyBorder="1" applyAlignment="1" applyProtection="1">
      <alignment horizontal="right" vertical="center"/>
      <protection/>
    </xf>
    <xf numFmtId="201" fontId="5" fillId="26" borderId="10" xfId="0" applyNumberFormat="1" applyFont="1" applyFill="1" applyBorder="1" applyAlignment="1" applyProtection="1">
      <alignment horizontal="center" vertical="center" shrinkToFit="1"/>
      <protection locked="0"/>
    </xf>
    <xf numFmtId="201" fontId="51" fillId="26" borderId="10" xfId="0" applyNumberFormat="1" applyFont="1" applyFill="1" applyBorder="1" applyAlignment="1" applyProtection="1">
      <alignment horizontal="center" vertical="center" shrinkToFit="1"/>
      <protection locked="0"/>
    </xf>
    <xf numFmtId="201" fontId="0" fillId="0" borderId="10" xfId="0" applyNumberFormat="1" applyFill="1" applyBorder="1" applyAlignment="1" applyProtection="1">
      <alignment horizontal="center" vertical="center" wrapText="1"/>
      <protection/>
    </xf>
    <xf numFmtId="191" fontId="52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center" vertical="center" wrapText="1"/>
      <protection/>
    </xf>
    <xf numFmtId="0" fontId="79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210" fontId="5" fillId="0" borderId="10" xfId="0" applyNumberFormat="1" applyFont="1" applyBorder="1" applyAlignment="1" applyProtection="1">
      <alignment horizontal="center"/>
      <protection/>
    </xf>
    <xf numFmtId="210" fontId="5" fillId="0" borderId="10" xfId="0" applyNumberFormat="1" applyFont="1" applyBorder="1" applyAlignment="1" applyProtection="1">
      <alignment horizontal="center"/>
      <protection locked="0"/>
    </xf>
    <xf numFmtId="205" fontId="5" fillId="0" borderId="10" xfId="0" applyNumberFormat="1" applyFont="1" applyBorder="1" applyAlignment="1" applyProtection="1">
      <alignment horizontal="center"/>
      <protection/>
    </xf>
    <xf numFmtId="2" fontId="52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205" fontId="52" fillId="7" borderId="0" xfId="0" applyNumberFormat="1" applyFont="1" applyFill="1" applyBorder="1" applyAlignment="1" applyProtection="1">
      <alignment horizontal="center"/>
      <protection/>
    </xf>
    <xf numFmtId="205" fontId="52" fillId="7" borderId="0" xfId="0" applyNumberFormat="1" applyFont="1" applyFill="1" applyBorder="1" applyAlignment="1" applyProtection="1">
      <alignment horizontal="center" wrapText="1"/>
      <protection/>
    </xf>
    <xf numFmtId="205" fontId="52" fillId="7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" fontId="84" fillId="0" borderId="10" xfId="0" applyNumberFormat="1" applyFont="1" applyBorder="1" applyAlignment="1" applyProtection="1">
      <alignment horizontal="center" vertical="center" wrapText="1"/>
      <protection/>
    </xf>
    <xf numFmtId="211" fontId="0" fillId="0" borderId="10" xfId="0" applyNumberFormat="1" applyFont="1" applyBorder="1" applyAlignment="1" applyProtection="1">
      <alignment horizontal="center" textRotation="90" wrapText="1" shrinkToFit="1"/>
      <protection/>
    </xf>
    <xf numFmtId="211" fontId="7" fillId="0" borderId="10" xfId="0" applyNumberFormat="1" applyFont="1" applyBorder="1" applyAlignment="1" applyProtection="1">
      <alignment horizontal="center" vertical="center" shrinkToFit="1"/>
      <protection/>
    </xf>
    <xf numFmtId="211" fontId="91" fillId="0" borderId="10" xfId="0" applyNumberFormat="1" applyFont="1" applyBorder="1" applyAlignment="1" applyProtection="1">
      <alignment horizontal="justify" vertical="center" shrinkToFit="1"/>
      <protection/>
    </xf>
    <xf numFmtId="0" fontId="3" fillId="0" borderId="13" xfId="0" applyFont="1" applyBorder="1" applyAlignment="1">
      <alignment vertical="center"/>
    </xf>
    <xf numFmtId="209" fontId="5" fillId="0" borderId="10" xfId="0" applyNumberFormat="1" applyFont="1" applyFill="1" applyBorder="1" applyAlignment="1" applyProtection="1">
      <alignment horizontal="center" vertical="center" shrinkToFit="1"/>
      <protection/>
    </xf>
    <xf numFmtId="212" fontId="91" fillId="0" borderId="10" xfId="0" applyNumberFormat="1" applyFont="1" applyBorder="1" applyAlignment="1" applyProtection="1">
      <alignment horizontal="justify" vertical="center" shrinkToFit="1"/>
      <protection/>
    </xf>
    <xf numFmtId="212" fontId="7" fillId="0" borderId="10" xfId="0" applyNumberFormat="1" applyFont="1" applyBorder="1" applyAlignment="1" applyProtection="1">
      <alignment horizontal="center" vertical="center" shrinkToFit="1"/>
      <protection/>
    </xf>
    <xf numFmtId="209" fontId="5" fillId="0" borderId="10" xfId="0" applyNumberFormat="1" applyFont="1" applyBorder="1" applyAlignment="1" applyProtection="1">
      <alignment horizontal="center" vertical="center" shrinkToFit="1"/>
      <protection/>
    </xf>
    <xf numFmtId="209" fontId="16" fillId="0" borderId="10" xfId="0" applyNumberFormat="1" applyFont="1" applyBorder="1" applyAlignment="1" applyProtection="1">
      <alignment horizontal="center" vertical="center" shrinkToFit="1"/>
      <protection/>
    </xf>
    <xf numFmtId="212" fontId="0" fillId="0" borderId="10" xfId="0" applyNumberFormat="1" applyFont="1" applyBorder="1" applyAlignment="1" applyProtection="1">
      <alignment horizontal="center" textRotation="90" wrapText="1" shrinkToFit="1"/>
      <protection/>
    </xf>
    <xf numFmtId="205" fontId="52" fillId="10" borderId="10" xfId="0" applyNumberFormat="1" applyFont="1" applyFill="1" applyBorder="1" applyAlignment="1" applyProtection="1">
      <alignment horizontal="center"/>
      <protection/>
    </xf>
    <xf numFmtId="205" fontId="52" fillId="3" borderId="10" xfId="0" applyNumberFormat="1" applyFont="1" applyFill="1" applyBorder="1" applyAlignment="1" applyProtection="1">
      <alignment horizontal="center"/>
      <protection/>
    </xf>
    <xf numFmtId="0" fontId="52" fillId="25" borderId="10" xfId="0" applyFont="1" applyFill="1" applyBorder="1" applyAlignment="1" applyProtection="1">
      <alignment horizontal="center" vertical="center" wrapText="1"/>
      <protection/>
    </xf>
    <xf numFmtId="0" fontId="52" fillId="15" borderId="10" xfId="0" applyFont="1" applyFill="1" applyBorder="1" applyAlignment="1" applyProtection="1">
      <alignment horizontal="center" vertical="center" wrapText="1"/>
      <protection/>
    </xf>
    <xf numFmtId="0" fontId="52" fillId="10" borderId="10" xfId="0" applyFont="1" applyFill="1" applyBorder="1" applyAlignment="1" applyProtection="1">
      <alignment horizontal="center" vertical="center" wrapText="1"/>
      <protection/>
    </xf>
    <xf numFmtId="0" fontId="52" fillId="27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 applyProtection="1">
      <alignment horizontal="center" vertical="center" wrapText="1"/>
      <protection/>
    </xf>
    <xf numFmtId="0" fontId="52" fillId="26" borderId="10" xfId="0" applyFont="1" applyFill="1" applyBorder="1" applyAlignment="1">
      <alignment horizontal="center" vertical="center" wrapText="1"/>
    </xf>
    <xf numFmtId="0" fontId="93" fillId="10" borderId="10" xfId="53" applyFont="1" applyFill="1" applyBorder="1" applyAlignment="1" applyProtection="1">
      <alignment horizontal="center" vertical="center"/>
      <protection/>
    </xf>
    <xf numFmtId="0" fontId="93" fillId="3" borderId="10" xfId="53" applyFont="1" applyFill="1" applyBorder="1" applyAlignment="1" applyProtection="1">
      <alignment horizontal="center" vertical="center"/>
      <protection/>
    </xf>
    <xf numFmtId="0" fontId="94" fillId="3" borderId="10" xfId="53" applyFont="1" applyFill="1" applyBorder="1" applyAlignment="1" applyProtection="1">
      <alignment horizontal="center" vertical="center"/>
      <protection/>
    </xf>
    <xf numFmtId="212" fontId="7" fillId="0" borderId="10" xfId="0" applyNumberFormat="1" applyFont="1" applyBorder="1" applyAlignment="1">
      <alignment horizontal="justify" vertical="center" wrapText="1" shrinkToFit="1"/>
    </xf>
    <xf numFmtId="0" fontId="83" fillId="0" borderId="13" xfId="0" applyFont="1" applyBorder="1" applyAlignment="1" applyProtection="1">
      <alignment horizontal="center" vertical="center" wrapText="1"/>
      <protection/>
    </xf>
    <xf numFmtId="208" fontId="23" fillId="0" borderId="10" xfId="0" applyNumberFormat="1" applyFont="1" applyBorder="1" applyAlignment="1" applyProtection="1">
      <alignment horizontal="center" vertical="center" wrapText="1"/>
      <protection/>
    </xf>
    <xf numFmtId="208" fontId="5" fillId="0" borderId="10" xfId="0" applyNumberFormat="1" applyFont="1" applyBorder="1" applyAlignment="1" applyProtection="1">
      <alignment horizontal="center" vertical="center" shrinkToFit="1"/>
      <protection/>
    </xf>
    <xf numFmtId="201" fontId="5" fillId="22" borderId="10" xfId="0" applyNumberFormat="1" applyFont="1" applyFill="1" applyBorder="1" applyAlignment="1" applyProtection="1">
      <alignment horizontal="center" vertical="center" shrinkToFit="1"/>
      <protection locked="0"/>
    </xf>
    <xf numFmtId="205" fontId="80" fillId="0" borderId="10" xfId="0" applyNumberFormat="1" applyFont="1" applyBorder="1" applyAlignment="1" applyProtection="1">
      <alignment horizontal="center" vertical="center" wrapText="1"/>
      <protection/>
    </xf>
    <xf numFmtId="201" fontId="80" fillId="0" borderId="10" xfId="0" applyNumberFormat="1" applyFont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22" borderId="10" xfId="0" applyFont="1" applyFill="1" applyBorder="1" applyAlignment="1">
      <alignment horizontal="center" vertical="center" wrapText="1"/>
    </xf>
    <xf numFmtId="201" fontId="5" fillId="7" borderId="10" xfId="0" applyNumberFormat="1" applyFont="1" applyFill="1" applyBorder="1" applyAlignment="1" applyProtection="1">
      <alignment horizontal="center" vertical="center" wrapText="1"/>
      <protection/>
    </xf>
    <xf numFmtId="201" fontId="0" fillId="7" borderId="10" xfId="0" applyNumberFormat="1" applyFont="1" applyFill="1" applyBorder="1" applyAlignment="1" applyProtection="1">
      <alignment horizontal="center" vertical="center" wrapText="1"/>
      <protection/>
    </xf>
    <xf numFmtId="201" fontId="0" fillId="0" borderId="0" xfId="0" applyNumberFormat="1" applyFont="1" applyBorder="1" applyAlignment="1" applyProtection="1">
      <alignment horizontal="center" vertical="center"/>
      <protection/>
    </xf>
    <xf numFmtId="205" fontId="6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01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textRotation="90" wrapText="1"/>
      <protection/>
    </xf>
    <xf numFmtId="1" fontId="52" fillId="0" borderId="10" xfId="0" applyNumberFormat="1" applyFont="1" applyBorder="1" applyAlignment="1" applyProtection="1">
      <alignment horizontal="center" vertical="center"/>
      <protection/>
    </xf>
    <xf numFmtId="201" fontId="39" fillId="22" borderId="10" xfId="0" applyNumberFormat="1" applyFont="1" applyFill="1" applyBorder="1" applyAlignment="1" applyProtection="1">
      <alignment horizontal="center" vertical="center" wrapText="1"/>
      <protection/>
    </xf>
    <xf numFmtId="201" fontId="51" fillId="0" borderId="10" xfId="0" applyNumberFormat="1" applyFont="1" applyFill="1" applyBorder="1" applyAlignment="1" applyProtection="1">
      <alignment horizontal="center" vertical="center" wrapText="1"/>
      <protection/>
    </xf>
    <xf numFmtId="201" fontId="39" fillId="0" borderId="10" xfId="0" applyNumberFormat="1" applyFont="1" applyFill="1" applyBorder="1" applyAlignment="1" applyProtection="1">
      <alignment horizontal="center" vertical="center" wrapText="1"/>
      <protection/>
    </xf>
    <xf numFmtId="205" fontId="7" fillId="22" borderId="10" xfId="0" applyNumberFormat="1" applyFont="1" applyFill="1" applyBorder="1" applyAlignment="1" applyProtection="1">
      <alignment horizontal="center" vertical="center" wrapText="1"/>
      <protection locked="0"/>
    </xf>
    <xf numFmtId="205" fontId="7" fillId="0" borderId="10" xfId="0" applyNumberFormat="1" applyFont="1" applyFill="1" applyBorder="1" applyAlignment="1" applyProtection="1">
      <alignment horizontal="center" vertical="center" wrapText="1"/>
      <protection/>
    </xf>
    <xf numFmtId="205" fontId="5" fillId="22" borderId="10" xfId="0" applyNumberFormat="1" applyFont="1" applyFill="1" applyBorder="1" applyAlignment="1" applyProtection="1">
      <alignment horizontal="center" vertical="center" wrapText="1"/>
      <protection locked="0"/>
    </xf>
    <xf numFmtId="205" fontId="5" fillId="22" borderId="10" xfId="0" applyNumberFormat="1" applyFont="1" applyFill="1" applyBorder="1" applyAlignment="1" applyProtection="1">
      <alignment horizontal="center" vertical="center"/>
      <protection locked="0"/>
    </xf>
    <xf numFmtId="0" fontId="0" fillId="26" borderId="15" xfId="53" applyFont="1" applyFill="1" applyBorder="1" applyAlignment="1" applyProtection="1">
      <alignment horizontal="center" vertical="center" wrapText="1"/>
      <protection locked="0"/>
    </xf>
    <xf numFmtId="0" fontId="0" fillId="26" borderId="12" xfId="53" applyFont="1" applyFill="1" applyBorder="1" applyAlignment="1" applyProtection="1">
      <alignment horizontal="center" vertical="center" wrapText="1"/>
      <protection locked="0"/>
    </xf>
    <xf numFmtId="49" fontId="96" fillId="25" borderId="10" xfId="0" applyNumberFormat="1" applyFont="1" applyFill="1" applyBorder="1" applyAlignment="1" applyProtection="1">
      <alignment horizontal="center" vertical="center"/>
      <protection/>
    </xf>
    <xf numFmtId="49" fontId="97" fillId="25" borderId="10" xfId="0" applyNumberFormat="1" applyFont="1" applyFill="1" applyBorder="1" applyAlignment="1" applyProtection="1">
      <alignment horizontal="center" vertical="center"/>
      <protection/>
    </xf>
    <xf numFmtId="49" fontId="97" fillId="26" borderId="10" xfId="0" applyNumberFormat="1" applyFont="1" applyFill="1" applyBorder="1" applyAlignment="1" applyProtection="1">
      <alignment horizontal="center" vertical="center"/>
      <protection/>
    </xf>
    <xf numFmtId="0" fontId="0" fillId="25" borderId="21" xfId="0" applyFont="1" applyFill="1" applyBorder="1" applyAlignment="1" applyProtection="1">
      <alignment horizontal="left" vertical="center" wrapText="1"/>
      <protection locked="0"/>
    </xf>
    <xf numFmtId="49" fontId="0" fillId="25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25" borderId="10" xfId="0" applyFill="1" applyBorder="1" applyAlignment="1" applyProtection="1">
      <alignment horizontal="left" vertical="center" wrapText="1"/>
      <protection locked="0"/>
    </xf>
    <xf numFmtId="0" fontId="7" fillId="25" borderId="10" xfId="0" applyFont="1" applyFill="1" applyBorder="1" applyAlignment="1" applyProtection="1">
      <alignment horizontal="center" vertical="center" wrapText="1"/>
      <protection locked="0"/>
    </xf>
    <xf numFmtId="0" fontId="0" fillId="26" borderId="10" xfId="0" applyFill="1" applyBorder="1" applyAlignment="1" applyProtection="1">
      <alignment horizontal="left" vertical="center" wrapText="1"/>
      <protection locked="0"/>
    </xf>
    <xf numFmtId="0" fontId="7" fillId="26" borderId="10" xfId="0" applyFont="1" applyFill="1" applyBorder="1" applyAlignment="1" applyProtection="1">
      <alignment horizontal="center" vertical="center" wrapText="1"/>
      <protection locked="0"/>
    </xf>
    <xf numFmtId="205" fontId="0" fillId="0" borderId="10" xfId="53" applyNumberFormat="1" applyBorder="1" applyAlignment="1" applyProtection="1">
      <alignment horizontal="center" vertical="center" wrapText="1"/>
      <protection locked="0"/>
    </xf>
    <xf numFmtId="205" fontId="0" fillId="10" borderId="10" xfId="53" applyNumberFormat="1" applyFont="1" applyFill="1" applyBorder="1" applyAlignment="1" applyProtection="1">
      <alignment horizontal="center" vertical="center" wrapText="1"/>
      <protection locked="0"/>
    </xf>
    <xf numFmtId="9" fontId="0" fillId="27" borderId="10" xfId="53" applyNumberFormat="1" applyFont="1" applyFill="1" applyBorder="1" applyAlignment="1" applyProtection="1">
      <alignment horizontal="center" vertical="center" wrapText="1"/>
      <protection locked="0"/>
    </xf>
    <xf numFmtId="205" fontId="0" fillId="3" borderId="10" xfId="0" applyNumberFormat="1" applyFont="1" applyFill="1" applyBorder="1" applyAlignment="1" applyProtection="1">
      <alignment horizontal="center" vertical="center" wrapText="1"/>
      <protection locked="0"/>
    </xf>
    <xf numFmtId="202" fontId="0" fillId="26" borderId="10" xfId="0" applyNumberFormat="1" applyFont="1" applyFill="1" applyBorder="1" applyAlignment="1" applyProtection="1">
      <alignment horizontal="center" vertical="center" wrapText="1"/>
      <protection locked="0"/>
    </xf>
    <xf numFmtId="205" fontId="0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90" fillId="25" borderId="0" xfId="0" applyFont="1" applyFill="1" applyAlignment="1" applyProtection="1">
      <alignment/>
      <protection locked="0"/>
    </xf>
    <xf numFmtId="0" fontId="43" fillId="0" borderId="13" xfId="0" applyNumberFormat="1" applyFont="1" applyBorder="1" applyAlignment="1" applyProtection="1">
      <alignment/>
      <protection/>
    </xf>
    <xf numFmtId="208" fontId="43" fillId="0" borderId="13" xfId="0" applyNumberFormat="1" applyFont="1" applyBorder="1" applyAlignment="1" applyProtection="1">
      <alignment/>
      <protection/>
    </xf>
    <xf numFmtId="0" fontId="47" fillId="0" borderId="13" xfId="0" applyFont="1" applyBorder="1" applyAlignment="1">
      <alignment wrapText="1"/>
    </xf>
    <xf numFmtId="201" fontId="52" fillId="0" borderId="10" xfId="0" applyNumberFormat="1" applyFont="1" applyFill="1" applyBorder="1" applyAlignment="1" applyProtection="1">
      <alignment horizontal="center" vertical="center"/>
      <protection/>
    </xf>
    <xf numFmtId="9" fontId="95" fillId="0" borderId="10" xfId="0" applyNumberFormat="1" applyFont="1" applyBorder="1" applyAlignment="1" applyProtection="1">
      <alignment horizontal="center" vertical="center" wrapText="1"/>
      <protection/>
    </xf>
    <xf numFmtId="201" fontId="7" fillId="0" borderId="0" xfId="0" applyNumberFormat="1" applyFont="1" applyFill="1" applyBorder="1" applyAlignment="1" applyProtection="1">
      <alignment horizontal="center" vertical="center" wrapText="1"/>
      <protection/>
    </xf>
    <xf numFmtId="201" fontId="0" fillId="0" borderId="0" xfId="0" applyNumberFormat="1" applyFill="1" applyBorder="1" applyAlignment="1" applyProtection="1">
      <alignment horizontal="center" vertical="center" wrapText="1"/>
      <protection/>
    </xf>
    <xf numFmtId="201" fontId="82" fillId="0" borderId="0" xfId="0" applyNumberFormat="1" applyFont="1" applyFill="1" applyBorder="1" applyAlignment="1" applyProtection="1">
      <alignment horizontal="center" vertical="center" wrapText="1"/>
      <protection/>
    </xf>
    <xf numFmtId="205" fontId="39" fillId="0" borderId="10" xfId="0" applyNumberFormat="1" applyFont="1" applyBorder="1" applyAlignment="1" applyProtection="1">
      <alignment horizontal="center" vertical="center" wrapText="1"/>
      <protection/>
    </xf>
    <xf numFmtId="205" fontId="39" fillId="0" borderId="10" xfId="0" applyNumberFormat="1" applyFont="1" applyBorder="1" applyAlignment="1" applyProtection="1">
      <alignment horizontal="center" vertical="center" wrapText="1"/>
      <protection locked="0"/>
    </xf>
    <xf numFmtId="205" fontId="39" fillId="0" borderId="10" xfId="0" applyNumberFormat="1" applyFont="1" applyBorder="1" applyAlignment="1">
      <alignment horizontal="center" vertical="center" wrapText="1"/>
    </xf>
    <xf numFmtId="205" fontId="39" fillId="0" borderId="29" xfId="0" applyNumberFormat="1" applyFont="1" applyBorder="1" applyAlignment="1">
      <alignment horizontal="center" vertical="center" wrapText="1"/>
    </xf>
    <xf numFmtId="205" fontId="31" fillId="0" borderId="10" xfId="0" applyNumberFormat="1" applyFont="1" applyBorder="1" applyAlignment="1" applyProtection="1">
      <alignment horizontal="center" vertical="center" wrapText="1"/>
      <protection locked="0"/>
    </xf>
    <xf numFmtId="205" fontId="31" fillId="0" borderId="10" xfId="0" applyNumberFormat="1" applyFont="1" applyBorder="1" applyAlignment="1">
      <alignment horizontal="center" vertical="center" wrapText="1"/>
    </xf>
    <xf numFmtId="205" fontId="31" fillId="0" borderId="29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205" fontId="52" fillId="0" borderId="0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49" fontId="5" fillId="22" borderId="10" xfId="0" applyNumberFormat="1" applyFont="1" applyFill="1" applyBorder="1" applyAlignment="1" applyProtection="1">
      <alignment horizontal="center" vertical="center"/>
      <protection locked="0"/>
    </xf>
    <xf numFmtId="208" fontId="31" fillId="0" borderId="10" xfId="0" applyNumberFormat="1" applyFont="1" applyBorder="1" applyAlignment="1" applyProtection="1">
      <alignment horizontal="center" vertical="center" wrapText="1"/>
      <protection/>
    </xf>
    <xf numFmtId="208" fontId="19" fillId="0" borderId="13" xfId="0" applyNumberFormat="1" applyFont="1" applyFill="1" applyBorder="1" applyAlignment="1" applyProtection="1">
      <alignment horizontal="left"/>
      <protection/>
    </xf>
    <xf numFmtId="208" fontId="19" fillId="0" borderId="13" xfId="0" applyNumberFormat="1" applyFont="1" applyFill="1" applyBorder="1" applyAlignment="1" applyProtection="1">
      <alignment horizontal="right"/>
      <protection/>
    </xf>
    <xf numFmtId="205" fontId="51" fillId="0" borderId="1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01" fontId="51" fillId="22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 wrapText="1"/>
      <protection/>
    </xf>
    <xf numFmtId="201" fontId="7" fillId="22" borderId="15" xfId="0" applyNumberFormat="1" applyFont="1" applyFill="1" applyBorder="1" applyAlignment="1" applyProtection="1">
      <alignment horizontal="center" vertical="center" wrapText="1"/>
      <protection locked="0"/>
    </xf>
    <xf numFmtId="201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201" fontId="7" fillId="0" borderId="15" xfId="0" applyNumberFormat="1" applyFont="1" applyFill="1" applyBorder="1" applyAlignment="1" applyProtection="1">
      <alignment horizontal="center" vertical="center" wrapText="1"/>
      <protection/>
    </xf>
    <xf numFmtId="201" fontId="52" fillId="0" borderId="10" xfId="0" applyNumberFormat="1" applyFont="1" applyBorder="1" applyAlignment="1" applyProtection="1">
      <alignment horizontal="center" vertical="center" wrapText="1"/>
      <protection/>
    </xf>
    <xf numFmtId="201" fontId="82" fillId="0" borderId="15" xfId="0" applyNumberFormat="1" applyFont="1" applyBorder="1" applyAlignment="1" applyProtection="1">
      <alignment horizontal="center" vertical="center" wrapText="1"/>
      <protection/>
    </xf>
    <xf numFmtId="201" fontId="99" fillId="0" borderId="19" xfId="0" applyNumberFormat="1" applyFont="1" applyBorder="1" applyAlignment="1">
      <alignment horizontal="center"/>
    </xf>
    <xf numFmtId="201" fontId="50" fillId="0" borderId="25" xfId="0" applyNumberFormat="1" applyFont="1" applyBorder="1" applyAlignment="1">
      <alignment horizontal="center"/>
    </xf>
    <xf numFmtId="201" fontId="14" fillId="0" borderId="19" xfId="0" applyNumberFormat="1" applyFont="1" applyBorder="1" applyAlignment="1">
      <alignment horizontal="center"/>
    </xf>
    <xf numFmtId="201" fontId="99" fillId="0" borderId="2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2" fontId="0" fillId="0" borderId="25" xfId="0" applyNumberFormat="1" applyBorder="1" applyAlignment="1">
      <alignment horizontal="right"/>
    </xf>
    <xf numFmtId="205" fontId="7" fillId="0" borderId="10" xfId="0" applyNumberFormat="1" applyFont="1" applyBorder="1" applyAlignment="1">
      <alignment horizontal="center" vertical="center"/>
    </xf>
    <xf numFmtId="191" fontId="0" fillId="10" borderId="10" xfId="0" applyNumberFormat="1" applyFill="1" applyBorder="1" applyAlignment="1" applyProtection="1">
      <alignment horizontal="center" vertical="center"/>
      <protection/>
    </xf>
    <xf numFmtId="2" fontId="6" fillId="26" borderId="30" xfId="0" applyNumberFormat="1" applyFont="1" applyFill="1" applyBorder="1" applyAlignment="1" applyProtection="1">
      <alignment horizontal="center" vertical="center"/>
      <protection/>
    </xf>
    <xf numFmtId="2" fontId="6" fillId="26" borderId="23" xfId="0" applyNumberFormat="1" applyFont="1" applyFill="1" applyBorder="1" applyAlignment="1" applyProtection="1">
      <alignment horizontal="center" vertical="center"/>
      <protection/>
    </xf>
    <xf numFmtId="203" fontId="52" fillId="0" borderId="12" xfId="0" applyNumberFormat="1" applyFont="1" applyFill="1" applyBorder="1" applyAlignment="1" applyProtection="1">
      <alignment horizontal="center" vertical="center" wrapText="1"/>
      <protection/>
    </xf>
    <xf numFmtId="203" fontId="0" fillId="26" borderId="15" xfId="0" applyNumberFormat="1" applyFill="1" applyBorder="1" applyAlignment="1" applyProtection="1">
      <alignment horizontal="center" vertical="center" wrapText="1"/>
      <protection/>
    </xf>
    <xf numFmtId="203" fontId="0" fillId="26" borderId="12" xfId="0" applyNumberFormat="1" applyFill="1" applyBorder="1" applyAlignment="1" applyProtection="1">
      <alignment horizontal="center" vertical="center" wrapText="1"/>
      <protection/>
    </xf>
    <xf numFmtId="205" fontId="6" fillId="26" borderId="23" xfId="0" applyNumberFormat="1" applyFont="1" applyFill="1" applyBorder="1" applyAlignment="1" applyProtection="1">
      <alignment horizontal="center" vertical="center"/>
      <protection/>
    </xf>
    <xf numFmtId="205" fontId="6" fillId="26" borderId="31" xfId="0" applyNumberFormat="1" applyFont="1" applyFill="1" applyBorder="1" applyAlignment="1" applyProtection="1">
      <alignment horizontal="center" vertical="center"/>
      <protection/>
    </xf>
    <xf numFmtId="191" fontId="6" fillId="0" borderId="10" xfId="0" applyNumberFormat="1" applyFont="1" applyBorder="1" applyAlignment="1" applyProtection="1">
      <alignment horizontal="center" vertical="center"/>
      <protection/>
    </xf>
    <xf numFmtId="205" fontId="6" fillId="0" borderId="10" xfId="0" applyNumberFormat="1" applyFont="1" applyBorder="1" applyAlignment="1" applyProtection="1">
      <alignment horizontal="center" vertical="center"/>
      <protection/>
    </xf>
    <xf numFmtId="205" fontId="6" fillId="0" borderId="15" xfId="0" applyNumberFormat="1" applyFont="1" applyBorder="1" applyAlignment="1" applyProtection="1">
      <alignment horizontal="center" vertical="center"/>
      <protection/>
    </xf>
    <xf numFmtId="191" fontId="0" fillId="0" borderId="12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203" fontId="52" fillId="0" borderId="15" xfId="0" applyNumberFormat="1" applyFont="1" applyFill="1" applyBorder="1" applyAlignment="1" applyProtection="1">
      <alignment horizontal="center" vertical="center" wrapText="1"/>
      <protection/>
    </xf>
    <xf numFmtId="191" fontId="0" fillId="0" borderId="15" xfId="0" applyNumberFormat="1" applyBorder="1" applyAlignment="1" applyProtection="1">
      <alignment horizontal="center" vertical="center"/>
      <protection/>
    </xf>
    <xf numFmtId="191" fontId="0" fillId="0" borderId="21" xfId="0" applyNumberFormat="1" applyBorder="1" applyAlignment="1" applyProtection="1">
      <alignment horizontal="center" vertical="center"/>
      <protection/>
    </xf>
    <xf numFmtId="205" fontId="0" fillId="0" borderId="21" xfId="0" applyNumberFormat="1" applyFill="1" applyBorder="1" applyAlignment="1" applyProtection="1">
      <alignment horizontal="center" vertical="center"/>
      <protection/>
    </xf>
    <xf numFmtId="205" fontId="0" fillId="0" borderId="12" xfId="0" applyNumberFormat="1" applyFill="1" applyBorder="1" applyAlignment="1" applyProtection="1">
      <alignment horizontal="center" vertical="center"/>
      <protection/>
    </xf>
    <xf numFmtId="205" fontId="0" fillId="22" borderId="12" xfId="0" applyNumberForma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horizontal="right" vertical="center"/>
      <protection/>
    </xf>
    <xf numFmtId="191" fontId="0" fillId="0" borderId="10" xfId="0" applyNumberFormat="1" applyFont="1" applyBorder="1" applyAlignment="1" applyProtection="1">
      <alignment horizontal="center" vertical="center" wrapText="1"/>
      <protection/>
    </xf>
    <xf numFmtId="205" fontId="0" fillId="0" borderId="15" xfId="0" applyNumberFormat="1" applyBorder="1" applyAlignment="1" applyProtection="1">
      <alignment horizontal="center" vertical="center"/>
      <protection/>
    </xf>
    <xf numFmtId="205" fontId="0" fillId="0" borderId="10" xfId="58" applyNumberFormat="1" applyBorder="1" applyAlignment="1" applyProtection="1">
      <alignment horizontal="center" vertical="center"/>
      <protection/>
    </xf>
    <xf numFmtId="205" fontId="0" fillId="22" borderId="21" xfId="0" applyNumberFormat="1" applyFill="1" applyBorder="1" applyAlignment="1" applyProtection="1">
      <alignment horizontal="center" vertical="center"/>
      <protection locked="0"/>
    </xf>
    <xf numFmtId="201" fontId="51" fillId="7" borderId="25" xfId="0" applyNumberFormat="1" applyFont="1" applyFill="1" applyBorder="1" applyAlignment="1" applyProtection="1">
      <alignment horizontal="center" vertical="center" wrapText="1"/>
      <protection/>
    </xf>
    <xf numFmtId="205" fontId="7" fillId="22" borderId="10" xfId="0" applyNumberFormat="1" applyFont="1" applyFill="1" applyBorder="1" applyAlignment="1" applyProtection="1">
      <alignment horizontal="center" vertical="center"/>
      <protection locked="0"/>
    </xf>
    <xf numFmtId="202" fontId="52" fillId="0" borderId="10" xfId="0" applyNumberFormat="1" applyFont="1" applyFill="1" applyBorder="1" applyAlignment="1" applyProtection="1">
      <alignment horizontal="center" vertical="center" wrapText="1"/>
      <protection/>
    </xf>
    <xf numFmtId="201" fontId="0" fillId="0" borderId="10" xfId="0" applyNumberFormat="1" applyFont="1" applyBorder="1" applyAlignment="1" applyProtection="1">
      <alignment horizontal="center" vertical="center" wrapText="1"/>
      <protection/>
    </xf>
    <xf numFmtId="205" fontId="0" fillId="0" borderId="21" xfId="0" applyNumberFormat="1" applyFont="1" applyBorder="1" applyAlignment="1" applyProtection="1">
      <alignment horizontal="center" vertical="center"/>
      <protection/>
    </xf>
    <xf numFmtId="205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205" fontId="0" fillId="0" borderId="21" xfId="0" applyNumberFormat="1" applyBorder="1" applyAlignment="1" applyProtection="1">
      <alignment horizontal="center" vertical="center"/>
      <protection/>
    </xf>
    <xf numFmtId="205" fontId="0" fillId="0" borderId="12" xfId="0" applyNumberFormat="1" applyBorder="1" applyAlignment="1" applyProtection="1">
      <alignment horizontal="center" vertical="center"/>
      <protection/>
    </xf>
    <xf numFmtId="201" fontId="51" fillId="7" borderId="28" xfId="0" applyNumberFormat="1" applyFont="1" applyFill="1" applyBorder="1" applyAlignment="1" applyProtection="1">
      <alignment horizontal="center" vertical="center" wrapText="1"/>
      <protection/>
    </xf>
    <xf numFmtId="201" fontId="51" fillId="7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201" fontId="82" fillId="0" borderId="10" xfId="0" applyNumberFormat="1" applyFont="1" applyBorder="1" applyAlignment="1" applyProtection="1">
      <alignment horizontal="center" vertical="center" wrapText="1"/>
      <protection/>
    </xf>
    <xf numFmtId="205" fontId="7" fillId="22" borderId="10" xfId="0" applyNumberFormat="1" applyFont="1" applyFill="1" applyBorder="1" applyAlignment="1" applyProtection="1">
      <alignment horizontal="center" vertical="center" wrapText="1"/>
      <protection locked="0"/>
    </xf>
    <xf numFmtId="201" fontId="51" fillId="7" borderId="27" xfId="0" applyNumberFormat="1" applyFont="1" applyFill="1" applyBorder="1" applyAlignment="1" applyProtection="1">
      <alignment horizontal="center" vertical="center" wrapText="1"/>
      <protection/>
    </xf>
    <xf numFmtId="203" fontId="0" fillId="26" borderId="12" xfId="0" applyNumberFormat="1" applyFill="1" applyBorder="1" applyAlignment="1" applyProtection="1">
      <alignment horizontal="center" vertical="center" wrapText="1"/>
      <protection locked="0"/>
    </xf>
    <xf numFmtId="201" fontId="0" fillId="0" borderId="10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center"/>
    </xf>
    <xf numFmtId="203" fontId="0" fillId="26" borderId="15" xfId="0" applyNumberForma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 applyProtection="1">
      <alignment horizontal="left" vertical="center" wrapText="1"/>
      <protection locked="0"/>
    </xf>
    <xf numFmtId="0" fontId="0" fillId="26" borderId="0" xfId="0" applyFill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/>
    </xf>
    <xf numFmtId="0" fontId="0" fillId="25" borderId="15" xfId="0" applyFill="1" applyBorder="1" applyAlignment="1" applyProtection="1">
      <alignment horizontal="left" vertical="center" wrapText="1"/>
      <protection locked="0"/>
    </xf>
    <xf numFmtId="0" fontId="0" fillId="25" borderId="12" xfId="0" applyFill="1" applyBorder="1" applyAlignment="1" applyProtection="1">
      <alignment horizontal="left" vertical="center" wrapText="1"/>
      <protection locked="0"/>
    </xf>
    <xf numFmtId="2" fontId="0" fillId="0" borderId="10" xfId="53" applyNumberFormat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49" fontId="0" fillId="25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10" xfId="53" applyFont="1" applyBorder="1" applyAlignment="1" applyProtection="1">
      <alignment horizontal="center" vertical="center" wrapText="1"/>
      <protection/>
    </xf>
    <xf numFmtId="0" fontId="90" fillId="0" borderId="0" xfId="0" applyFont="1" applyAlignment="1">
      <alignment horizontal="center"/>
    </xf>
    <xf numFmtId="0" fontId="0" fillId="25" borderId="21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4" fillId="0" borderId="0" xfId="0" applyFont="1" applyAlignment="1">
      <alignment horizontal="left"/>
    </xf>
    <xf numFmtId="0" fontId="0" fillId="26" borderId="15" xfId="53" applyFont="1" applyFill="1" applyBorder="1" applyAlignment="1" applyProtection="1">
      <alignment horizontal="center" vertical="center" wrapText="1"/>
      <protection locked="0"/>
    </xf>
    <xf numFmtId="0" fontId="0" fillId="26" borderId="12" xfId="53" applyFont="1" applyFill="1" applyBorder="1" applyAlignment="1" applyProtection="1">
      <alignment horizontal="center" vertical="center" wrapText="1"/>
      <protection locked="0"/>
    </xf>
    <xf numFmtId="0" fontId="52" fillId="15" borderId="10" xfId="0" applyFont="1" applyFill="1" applyBorder="1" applyAlignment="1" applyProtection="1">
      <alignment horizontal="center" vertical="center" wrapText="1"/>
      <protection/>
    </xf>
    <xf numFmtId="0" fontId="93" fillId="3" borderId="10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0" xfId="53" applyFont="1" applyBorder="1" applyAlignment="1" applyProtection="1">
      <alignment horizontal="center" vertical="center" wrapText="1"/>
      <protection/>
    </xf>
    <xf numFmtId="0" fontId="0" fillId="25" borderId="20" xfId="53" applyFont="1" applyFill="1" applyBorder="1" applyAlignment="1" applyProtection="1">
      <alignment horizontal="center" vertical="center"/>
      <protection locked="0"/>
    </xf>
    <xf numFmtId="0" fontId="0" fillId="25" borderId="25" xfId="53" applyFont="1" applyFill="1" applyBorder="1" applyAlignment="1" applyProtection="1">
      <alignment horizontal="center" vertical="center"/>
      <protection locked="0"/>
    </xf>
    <xf numFmtId="0" fontId="52" fillId="25" borderId="20" xfId="53" applyFont="1" applyFill="1" applyBorder="1" applyAlignment="1" applyProtection="1">
      <alignment horizontal="center" vertical="center"/>
      <protection/>
    </xf>
    <xf numFmtId="0" fontId="52" fillId="25" borderId="25" xfId="53" applyFont="1" applyFill="1" applyBorder="1" applyAlignment="1" applyProtection="1">
      <alignment horizontal="center" vertical="center"/>
      <protection/>
    </xf>
    <xf numFmtId="0" fontId="0" fillId="25" borderId="10" xfId="53" applyFont="1" applyFill="1" applyBorder="1" applyAlignment="1" applyProtection="1">
      <alignment horizontal="left" vertical="center" wrapText="1"/>
      <protection locked="0"/>
    </xf>
    <xf numFmtId="0" fontId="0" fillId="25" borderId="10" xfId="53" applyFill="1" applyBorder="1" applyAlignment="1" applyProtection="1">
      <alignment horizontal="left" vertical="center" wrapText="1"/>
      <protection locked="0"/>
    </xf>
    <xf numFmtId="0" fontId="93" fillId="10" borderId="10" xfId="53" applyFont="1" applyFill="1" applyBorder="1" applyAlignment="1" applyProtection="1">
      <alignment horizontal="center" vertical="center" wrapText="1"/>
      <protection/>
    </xf>
    <xf numFmtId="0" fontId="52" fillId="25" borderId="10" xfId="0" applyFont="1" applyFill="1" applyBorder="1" applyAlignment="1" applyProtection="1">
      <alignment horizontal="center" vertical="center" wrapText="1"/>
      <protection/>
    </xf>
    <xf numFmtId="205" fontId="0" fillId="11" borderId="10" xfId="53" applyNumberFormat="1" applyFill="1" applyBorder="1" applyAlignment="1" applyProtection="1">
      <alignment horizontal="center" vertical="center" wrapText="1"/>
      <protection/>
    </xf>
    <xf numFmtId="205" fontId="82" fillId="15" borderId="10" xfId="53" applyNumberFormat="1" applyFont="1" applyFill="1" applyBorder="1" applyAlignment="1" applyProtection="1">
      <alignment horizontal="center" vertical="center" wrapText="1"/>
      <protection/>
    </xf>
    <xf numFmtId="0" fontId="82" fillId="22" borderId="10" xfId="53" applyFont="1" applyFill="1" applyBorder="1" applyAlignment="1" applyProtection="1">
      <alignment horizontal="center" vertical="center" wrapText="1"/>
      <protection/>
    </xf>
    <xf numFmtId="205" fontId="0" fillId="15" borderId="10" xfId="53" applyNumberFormat="1" applyFont="1" applyFill="1" applyBorder="1" applyAlignment="1" applyProtection="1">
      <alignment horizontal="center" vertical="center" wrapText="1"/>
      <protection/>
    </xf>
    <xf numFmtId="205" fontId="0" fillId="22" borderId="10" xfId="53" applyNumberFormat="1" applyFill="1" applyBorder="1" applyAlignment="1" applyProtection="1">
      <alignment horizontal="center" vertical="center" wrapText="1"/>
      <protection/>
    </xf>
    <xf numFmtId="205" fontId="82" fillId="11" borderId="10" xfId="53" applyNumberFormat="1" applyFont="1" applyFill="1" applyBorder="1" applyAlignment="1" applyProtection="1">
      <alignment horizontal="center" vertical="center" wrapText="1"/>
      <protection/>
    </xf>
    <xf numFmtId="0" fontId="0" fillId="26" borderId="15" xfId="53" applyFont="1" applyFill="1" applyBorder="1" applyAlignment="1" applyProtection="1">
      <alignment horizontal="left" vertical="center" wrapText="1"/>
      <protection locked="0"/>
    </xf>
    <xf numFmtId="0" fontId="0" fillId="26" borderId="12" xfId="53" applyFont="1" applyFill="1" applyBorder="1" applyAlignment="1" applyProtection="1">
      <alignment horizontal="left" vertical="center" wrapText="1"/>
      <protection locked="0"/>
    </xf>
    <xf numFmtId="191" fontId="80" fillId="7" borderId="10" xfId="0" applyNumberFormat="1" applyFont="1" applyFill="1" applyBorder="1" applyAlignment="1" applyProtection="1">
      <alignment horizontal="center" vertical="center"/>
      <protection/>
    </xf>
    <xf numFmtId="205" fontId="0" fillId="7" borderId="17" xfId="0" applyNumberFormat="1" applyFill="1" applyBorder="1" applyAlignment="1" applyProtection="1">
      <alignment horizontal="center" vertical="center"/>
      <protection/>
    </xf>
    <xf numFmtId="205" fontId="0" fillId="7" borderId="0" xfId="0" applyNumberFormat="1" applyFill="1" applyBorder="1" applyAlignment="1" applyProtection="1">
      <alignment horizontal="center" vertical="center"/>
      <protection/>
    </xf>
    <xf numFmtId="205" fontId="0" fillId="7" borderId="19" xfId="0" applyNumberFormat="1" applyFill="1" applyBorder="1" applyAlignment="1" applyProtection="1">
      <alignment horizontal="center" vertical="center"/>
      <protection/>
    </xf>
    <xf numFmtId="205" fontId="0" fillId="10" borderId="32" xfId="0" applyNumberForma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9" fontId="0" fillId="15" borderId="21" xfId="0" applyNumberFormat="1" applyFill="1" applyBorder="1" applyAlignment="1" applyProtection="1">
      <alignment horizontal="left" vertical="center" wrapText="1"/>
      <protection locked="0"/>
    </xf>
    <xf numFmtId="0" fontId="83" fillId="0" borderId="10" xfId="0" applyFont="1" applyBorder="1" applyAlignment="1" applyProtection="1">
      <alignment horizontal="center" vertical="center" wrapText="1"/>
      <protection/>
    </xf>
    <xf numFmtId="0" fontId="83" fillId="0" borderId="14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 shrinkToFit="1"/>
      <protection/>
    </xf>
    <xf numFmtId="0" fontId="0" fillId="0" borderId="32" xfId="0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 applyProtection="1">
      <alignment horizontal="center" vertical="center" wrapText="1" shrinkToFit="1"/>
      <protection/>
    </xf>
    <xf numFmtId="49" fontId="0" fillId="0" borderId="10" xfId="0" applyNumberFormat="1" applyFont="1" applyBorder="1" applyAlignment="1" applyProtection="1">
      <alignment horizontal="center" textRotation="90" wrapText="1" shrinkToFit="1"/>
      <protection/>
    </xf>
    <xf numFmtId="0" fontId="13" fillId="0" borderId="22" xfId="0" applyFont="1" applyBorder="1" applyAlignment="1" applyProtection="1">
      <alignment horizontal="center" textRotation="90" wrapText="1" shrinkToFit="1"/>
      <protection/>
    </xf>
    <xf numFmtId="0" fontId="13" fillId="0" borderId="32" xfId="0" applyFont="1" applyBorder="1" applyAlignment="1" applyProtection="1">
      <alignment horizontal="center" textRotation="90" wrapText="1" shrinkToFit="1"/>
      <protection/>
    </xf>
    <xf numFmtId="0" fontId="13" fillId="0" borderId="14" xfId="0" applyFont="1" applyBorder="1" applyAlignment="1" applyProtection="1">
      <alignment horizontal="center" textRotation="90" wrapText="1" shrinkToFi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 shrinkToFi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textRotation="90" wrapText="1" shrinkToFit="1"/>
      <protection/>
    </xf>
    <xf numFmtId="49" fontId="0" fillId="22" borderId="22" xfId="0" applyNumberFormat="1" applyFont="1" applyFill="1" applyBorder="1" applyAlignment="1" applyProtection="1">
      <alignment horizontal="center" textRotation="90" wrapText="1" shrinkToFit="1"/>
      <protection locked="0"/>
    </xf>
    <xf numFmtId="49" fontId="0" fillId="22" borderId="14" xfId="0" applyNumberFormat="1" applyFont="1" applyFill="1" applyBorder="1" applyAlignment="1" applyProtection="1">
      <alignment horizontal="center" textRotation="90" wrapText="1" shrinkToFit="1"/>
      <protection locked="0"/>
    </xf>
    <xf numFmtId="0" fontId="0" fillId="22" borderId="10" xfId="0" applyFont="1" applyFill="1" applyBorder="1" applyAlignment="1" applyProtection="1">
      <alignment horizontal="center" textRotation="90" wrapText="1" shrinkToFi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203" fontId="0" fillId="0" borderId="15" xfId="0" applyNumberFormat="1" applyFill="1" applyBorder="1" applyAlignment="1" applyProtection="1">
      <alignment horizontal="center" vertical="center" wrapText="1"/>
      <protection/>
    </xf>
    <xf numFmtId="203" fontId="0" fillId="0" borderId="12" xfId="0" applyNumberFormat="1" applyFill="1" applyBorder="1" applyAlignment="1" applyProtection="1">
      <alignment horizontal="center" vertical="center" wrapText="1"/>
      <protection/>
    </xf>
    <xf numFmtId="0" fontId="82" fillId="0" borderId="15" xfId="0" applyFont="1" applyBorder="1" applyAlignment="1" applyProtection="1">
      <alignment horizontal="center" vertical="center" wrapText="1"/>
      <protection/>
    </xf>
    <xf numFmtId="0" fontId="82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textRotation="90" wrapText="1"/>
      <protection/>
    </xf>
    <xf numFmtId="0" fontId="0" fillId="0" borderId="32" xfId="0" applyFont="1" applyBorder="1" applyAlignment="1" applyProtection="1">
      <alignment horizontal="center" textRotation="90" wrapText="1"/>
      <protection/>
    </xf>
    <xf numFmtId="0" fontId="0" fillId="0" borderId="14" xfId="0" applyFont="1" applyBorder="1" applyAlignment="1" applyProtection="1">
      <alignment horizontal="center" textRotation="90" wrapText="1"/>
      <protection/>
    </xf>
    <xf numFmtId="0" fontId="82" fillId="0" borderId="12" xfId="0" applyFont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 applyProtection="1">
      <alignment horizontal="center" textRotation="90" wrapText="1" shrinkToFit="1"/>
      <protection/>
    </xf>
    <xf numFmtId="49" fontId="0" fillId="0" borderId="32" xfId="0" applyNumberFormat="1" applyFont="1" applyBorder="1" applyAlignment="1" applyProtection="1">
      <alignment horizontal="center" textRotation="90" wrapText="1" shrinkToFit="1"/>
      <protection/>
    </xf>
    <xf numFmtId="49" fontId="0" fillId="0" borderId="14" xfId="0" applyNumberFormat="1" applyFont="1" applyBorder="1" applyAlignment="1" applyProtection="1">
      <alignment horizontal="center" textRotation="90" wrapText="1" shrinkToFi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91" fontId="0" fillId="0" borderId="15" xfId="0" applyNumberFormat="1" applyFont="1" applyBorder="1" applyAlignment="1" applyProtection="1">
      <alignment horizontal="center" vertical="center" wrapText="1"/>
      <protection/>
    </xf>
    <xf numFmtId="191" fontId="0" fillId="0" borderId="12" xfId="0" applyNumberFormat="1" applyFont="1" applyBorder="1" applyAlignment="1" applyProtection="1">
      <alignment horizontal="center" vertical="center" wrapText="1"/>
      <protection/>
    </xf>
    <xf numFmtId="0" fontId="83" fillId="0" borderId="32" xfId="0" applyFont="1" applyBorder="1" applyAlignment="1" applyProtection="1">
      <alignment horizontal="center" vertical="center" wrapText="1"/>
      <protection/>
    </xf>
    <xf numFmtId="0" fontId="83" fillId="0" borderId="22" xfId="0" applyFont="1" applyBorder="1" applyAlignment="1" applyProtection="1">
      <alignment horizontal="center" vertical="center" wrapText="1"/>
      <protection/>
    </xf>
    <xf numFmtId="0" fontId="79" fillId="0" borderId="27" xfId="0" applyFont="1" applyBorder="1" applyAlignment="1" applyProtection="1">
      <alignment horizontal="center" vertical="center" wrapText="1"/>
      <protection/>
    </xf>
    <xf numFmtId="0" fontId="79" fillId="0" borderId="11" xfId="0" applyFont="1" applyBorder="1" applyAlignment="1" applyProtection="1">
      <alignment horizontal="center" vertical="center" wrapText="1"/>
      <protection/>
    </xf>
    <xf numFmtId="0" fontId="79" fillId="0" borderId="28" xfId="0" applyFont="1" applyBorder="1" applyAlignment="1" applyProtection="1">
      <alignment horizontal="center" vertical="center" wrapText="1"/>
      <protection/>
    </xf>
    <xf numFmtId="201" fontId="52" fillId="22" borderId="20" xfId="0" applyNumberFormat="1" applyFont="1" applyFill="1" applyBorder="1" applyAlignment="1" applyProtection="1">
      <alignment horizontal="center" vertical="center"/>
      <protection/>
    </xf>
    <xf numFmtId="201" fontId="52" fillId="22" borderId="13" xfId="0" applyNumberFormat="1" applyFont="1" applyFill="1" applyBorder="1" applyAlignment="1" applyProtection="1">
      <alignment horizontal="center" vertical="center"/>
      <protection/>
    </xf>
    <xf numFmtId="201" fontId="52" fillId="22" borderId="25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01" fontId="51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 shrinkToFit="1"/>
      <protection/>
    </xf>
    <xf numFmtId="0" fontId="7" fillId="0" borderId="12" xfId="0" applyFont="1" applyBorder="1" applyAlignment="1" applyProtection="1">
      <alignment horizontal="center" vertical="center" wrapText="1" shrinkToFit="1"/>
      <protection/>
    </xf>
    <xf numFmtId="0" fontId="5" fillId="0" borderId="10" xfId="0" applyFont="1" applyBorder="1" applyAlignment="1" applyProtection="1">
      <alignment horizontal="center" textRotation="90" wrapText="1"/>
      <protection/>
    </xf>
    <xf numFmtId="0" fontId="13" fillId="0" borderId="10" xfId="0" applyFont="1" applyBorder="1" applyAlignment="1" applyProtection="1">
      <alignment horizontal="center" textRotation="90" wrapText="1"/>
      <protection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205" fontId="80" fillId="0" borderId="22" xfId="0" applyNumberFormat="1" applyFont="1" applyBorder="1" applyAlignment="1" applyProtection="1">
      <alignment horizontal="center" vertical="center"/>
      <protection/>
    </xf>
    <xf numFmtId="205" fontId="80" fillId="0" borderId="14" xfId="0" applyNumberFormat="1" applyFont="1" applyBorder="1" applyAlignment="1" applyProtection="1">
      <alignment horizontal="center" vertical="center"/>
      <protection/>
    </xf>
    <xf numFmtId="205" fontId="6" fillId="0" borderId="21" xfId="0" applyNumberFormat="1" applyFont="1" applyBorder="1" applyAlignment="1" applyProtection="1">
      <alignment horizontal="center" vertical="center"/>
      <protection/>
    </xf>
    <xf numFmtId="205" fontId="6" fillId="0" borderId="12" xfId="0" applyNumberFormat="1" applyFont="1" applyBorder="1" applyAlignment="1" applyProtection="1">
      <alignment horizontal="center" vertical="center"/>
      <protection/>
    </xf>
    <xf numFmtId="191" fontId="80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 vertical="center" textRotation="255" wrapText="1" shrinkToFit="1"/>
      <protection/>
    </xf>
    <xf numFmtId="202" fontId="86" fillId="0" borderId="15" xfId="0" applyNumberFormat="1" applyFont="1" applyBorder="1" applyAlignment="1" applyProtection="1">
      <alignment horizontal="center" vertical="center" wrapText="1"/>
      <protection/>
    </xf>
    <xf numFmtId="202" fontId="86" fillId="0" borderId="12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right" vertical="center"/>
      <protection/>
    </xf>
    <xf numFmtId="205" fontId="7" fillId="0" borderId="10" xfId="0" applyNumberFormat="1" applyFont="1" applyFill="1" applyBorder="1" applyAlignment="1" applyProtection="1">
      <alignment horizontal="center" vertical="center" wrapText="1"/>
      <protection/>
    </xf>
    <xf numFmtId="201" fontId="52" fillId="0" borderId="15" xfId="0" applyNumberFormat="1" applyFont="1" applyBorder="1" applyAlignment="1" applyProtection="1">
      <alignment horizontal="center" vertical="center" wrapText="1"/>
      <protection/>
    </xf>
    <xf numFmtId="201" fontId="52" fillId="0" borderId="12" xfId="0" applyNumberFormat="1" applyFont="1" applyBorder="1" applyAlignment="1" applyProtection="1">
      <alignment horizontal="center" vertical="center" wrapText="1"/>
      <protection/>
    </xf>
    <xf numFmtId="201" fontId="0" fillId="26" borderId="15" xfId="0" applyNumberFormat="1" applyFill="1" applyBorder="1" applyAlignment="1" applyProtection="1">
      <alignment horizontal="center" vertical="center"/>
      <protection locked="0"/>
    </xf>
    <xf numFmtId="201" fontId="0" fillId="26" borderId="21" xfId="0" applyNumberFormat="1" applyFill="1" applyBorder="1" applyAlignment="1" applyProtection="1">
      <alignment horizontal="center" vertical="center"/>
      <protection locked="0"/>
    </xf>
    <xf numFmtId="201" fontId="0" fillId="26" borderId="12" xfId="0" applyNumberFormat="1" applyFill="1" applyBorder="1" applyAlignment="1" applyProtection="1">
      <alignment horizontal="center" vertical="center"/>
      <protection locked="0"/>
    </xf>
    <xf numFmtId="211" fontId="0" fillId="0" borderId="10" xfId="0" applyNumberFormat="1" applyFont="1" applyBorder="1" applyAlignment="1" applyProtection="1">
      <alignment horizontal="center" textRotation="90" wrapText="1" shrinkToFit="1"/>
      <protection/>
    </xf>
    <xf numFmtId="201" fontId="6" fillId="0" borderId="15" xfId="0" applyNumberFormat="1" applyFont="1" applyBorder="1" applyAlignment="1" applyProtection="1">
      <alignment horizontal="center" vertical="center"/>
      <protection/>
    </xf>
    <xf numFmtId="201" fontId="6" fillId="0" borderId="21" xfId="0" applyNumberFormat="1" applyFont="1" applyBorder="1" applyAlignment="1" applyProtection="1">
      <alignment horizontal="center" vertical="center"/>
      <protection/>
    </xf>
    <xf numFmtId="201" fontId="6" fillId="0" borderId="12" xfId="0" applyNumberFormat="1" applyFont="1" applyBorder="1" applyAlignment="1" applyProtection="1">
      <alignment horizontal="center" vertical="center"/>
      <protection/>
    </xf>
    <xf numFmtId="201" fontId="0" fillId="0" borderId="10" xfId="0" applyNumberFormat="1" applyFill="1" applyBorder="1" applyAlignment="1" applyProtection="1">
      <alignment horizontal="center" vertical="center"/>
      <protection locked="0"/>
    </xf>
    <xf numFmtId="205" fontId="6" fillId="0" borderId="0" xfId="0" applyNumberFormat="1" applyFont="1" applyBorder="1" applyAlignment="1" applyProtection="1">
      <alignment horizontal="center" vertical="center"/>
      <protection/>
    </xf>
    <xf numFmtId="191" fontId="0" fillId="0" borderId="0" xfId="0" applyNumberFormat="1" applyFont="1" applyBorder="1" applyAlignment="1" applyProtection="1">
      <alignment horizontal="center" vertical="center" wrapText="1"/>
      <protection/>
    </xf>
    <xf numFmtId="211" fontId="13" fillId="0" borderId="10" xfId="0" applyNumberFormat="1" applyFont="1" applyBorder="1" applyAlignment="1" applyProtection="1">
      <alignment horizontal="center" vertical="center" textRotation="255" wrapText="1" shrinkToFi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203" fontId="0" fillId="0" borderId="0" xfId="0" applyNumberFormat="1" applyFill="1" applyBorder="1" applyAlignment="1" applyProtection="1">
      <alignment horizontal="center" vertical="center" wrapText="1"/>
      <protection locked="0"/>
    </xf>
    <xf numFmtId="201" fontId="0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3" fillId="0" borderId="0" xfId="0" applyFont="1" applyBorder="1" applyAlignment="1" applyProtection="1">
      <alignment horizontal="center" vertical="center" wrapText="1"/>
      <protection/>
    </xf>
    <xf numFmtId="0" fontId="79" fillId="0" borderId="0" xfId="0" applyFont="1" applyBorder="1" applyAlignment="1" applyProtection="1">
      <alignment horizontal="center" vertical="center" wrapText="1"/>
      <protection/>
    </xf>
    <xf numFmtId="201" fontId="52" fillId="0" borderId="0" xfId="0" applyNumberFormat="1" applyFont="1" applyFill="1" applyBorder="1" applyAlignment="1" applyProtection="1">
      <alignment horizontal="center" vertical="center" wrapText="1"/>
      <protection/>
    </xf>
    <xf numFmtId="201" fontId="82" fillId="0" borderId="0" xfId="0" applyNumberFormat="1" applyFont="1" applyFill="1" applyBorder="1" applyAlignment="1" applyProtection="1">
      <alignment horizontal="center" vertical="center" wrapText="1"/>
      <protection/>
    </xf>
    <xf numFmtId="201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211" fontId="13" fillId="0" borderId="10" xfId="0" applyNumberFormat="1" applyFont="1" applyBorder="1" applyAlignment="1" applyProtection="1">
      <alignment horizontal="center" textRotation="90" wrapText="1" shrinkToFit="1"/>
      <protection/>
    </xf>
    <xf numFmtId="211" fontId="13" fillId="0" borderId="10" xfId="0" applyNumberFormat="1" applyFont="1" applyBorder="1" applyAlignment="1" applyProtection="1">
      <alignment horizontal="center" vertical="center" wrapText="1" shrinkToFit="1"/>
      <protection/>
    </xf>
    <xf numFmtId="202" fontId="86" fillId="0" borderId="0" xfId="0" applyNumberFormat="1" applyFont="1" applyBorder="1" applyAlignment="1" applyProtection="1">
      <alignment horizontal="center" vertical="center" wrapText="1"/>
      <protection/>
    </xf>
    <xf numFmtId="211" fontId="7" fillId="0" borderId="15" xfId="0" applyNumberFormat="1" applyFont="1" applyBorder="1" applyAlignment="1" applyProtection="1">
      <alignment horizontal="center" vertical="center" wrapText="1" shrinkToFit="1"/>
      <protection/>
    </xf>
    <xf numFmtId="211" fontId="7" fillId="0" borderId="12" xfId="0" applyNumberFormat="1" applyFont="1" applyBorder="1" applyAlignment="1" applyProtection="1">
      <alignment horizontal="center" vertical="center" wrapText="1" shrinkToFit="1"/>
      <protection/>
    </xf>
    <xf numFmtId="201" fontId="0" fillId="0" borderId="32" xfId="0" applyNumberFormat="1" applyBorder="1" applyAlignment="1" applyProtection="1">
      <alignment horizontal="center" vertical="center"/>
      <protection/>
    </xf>
    <xf numFmtId="201" fontId="0" fillId="0" borderId="15" xfId="0" applyNumberFormat="1" applyFill="1" applyBorder="1" applyAlignment="1" applyProtection="1">
      <alignment horizontal="center" vertical="center"/>
      <protection locked="0"/>
    </xf>
    <xf numFmtId="201" fontId="0" fillId="0" borderId="21" xfId="0" applyNumberFormat="1" applyFill="1" applyBorder="1" applyAlignment="1" applyProtection="1">
      <alignment horizontal="center" vertical="center"/>
      <protection locked="0"/>
    </xf>
    <xf numFmtId="201" fontId="0" fillId="0" borderId="12" xfId="0" applyNumberFormat="1" applyFill="1" applyBorder="1" applyAlignment="1" applyProtection="1">
      <alignment horizontal="center" vertical="center"/>
      <protection locked="0"/>
    </xf>
    <xf numFmtId="201" fontId="0" fillId="0" borderId="21" xfId="0" applyNumberFormat="1" applyBorder="1" applyAlignment="1" applyProtection="1">
      <alignment horizontal="center" vertical="center"/>
      <protection/>
    </xf>
    <xf numFmtId="201" fontId="0" fillId="0" borderId="12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211" fontId="0" fillId="0" borderId="22" xfId="0" applyNumberFormat="1" applyFont="1" applyBorder="1" applyAlignment="1" applyProtection="1">
      <alignment horizontal="center" textRotation="90" wrapText="1"/>
      <protection/>
    </xf>
    <xf numFmtId="211" fontId="0" fillId="0" borderId="32" xfId="0" applyNumberFormat="1" applyFont="1" applyBorder="1" applyAlignment="1" applyProtection="1">
      <alignment horizontal="center" textRotation="90" wrapText="1"/>
      <protection/>
    </xf>
    <xf numFmtId="211" fontId="0" fillId="0" borderId="14" xfId="0" applyNumberFormat="1" applyFont="1" applyBorder="1" applyAlignment="1" applyProtection="1">
      <alignment horizontal="center" textRotation="90" wrapText="1"/>
      <protection/>
    </xf>
    <xf numFmtId="201" fontId="6" fillId="0" borderId="23" xfId="0" applyNumberFormat="1" applyFont="1" applyBorder="1" applyAlignment="1" applyProtection="1">
      <alignment horizontal="center" vertical="center"/>
      <protection/>
    </xf>
    <xf numFmtId="201" fontId="6" fillId="0" borderId="31" xfId="0" applyNumberFormat="1" applyFont="1" applyBorder="1" applyAlignment="1" applyProtection="1">
      <alignment horizontal="center" vertical="center"/>
      <protection/>
    </xf>
    <xf numFmtId="201" fontId="6" fillId="26" borderId="10" xfId="0" applyNumberFormat="1" applyFont="1" applyFill="1" applyBorder="1" applyAlignment="1" applyProtection="1">
      <alignment horizontal="center" vertical="center"/>
      <protection locked="0"/>
    </xf>
    <xf numFmtId="201" fontId="6" fillId="26" borderId="15" xfId="0" applyNumberFormat="1" applyFont="1" applyFill="1" applyBorder="1" applyAlignment="1" applyProtection="1">
      <alignment horizontal="center" vertical="center"/>
      <protection locked="0"/>
    </xf>
    <xf numFmtId="191" fontId="0" fillId="0" borderId="10" xfId="0" applyNumberFormat="1" applyBorder="1" applyAlignment="1" applyProtection="1">
      <alignment horizontal="center" vertical="center"/>
      <protection/>
    </xf>
    <xf numFmtId="2" fontId="6" fillId="0" borderId="30" xfId="0" applyNumberFormat="1" applyFont="1" applyBorder="1" applyAlignment="1" applyProtection="1">
      <alignment horizontal="center" vertical="center"/>
      <protection/>
    </xf>
    <xf numFmtId="2" fontId="6" fillId="0" borderId="23" xfId="0" applyNumberFormat="1" applyFont="1" applyBorder="1" applyAlignment="1" applyProtection="1">
      <alignment horizontal="center" vertical="center"/>
      <protection/>
    </xf>
    <xf numFmtId="201" fontId="0" fillId="0" borderId="17" xfId="0" applyNumberFormat="1" applyBorder="1" applyAlignment="1" applyProtection="1">
      <alignment horizontal="center" vertical="center"/>
      <protection/>
    </xf>
    <xf numFmtId="201" fontId="0" fillId="0" borderId="0" xfId="0" applyNumberFormat="1" applyBorder="1" applyAlignment="1" applyProtection="1">
      <alignment horizontal="center" vertical="center"/>
      <protection/>
    </xf>
    <xf numFmtId="201" fontId="0" fillId="0" borderId="19" xfId="0" applyNumberFormat="1" applyBorder="1" applyAlignment="1" applyProtection="1">
      <alignment horizontal="center" vertical="center"/>
      <protection/>
    </xf>
    <xf numFmtId="201" fontId="0" fillId="26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203" fontId="0" fillId="0" borderId="0" xfId="0" applyNumberForma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/>
    </xf>
    <xf numFmtId="207" fontId="7" fillId="0" borderId="15" xfId="0" applyNumberFormat="1" applyFont="1" applyBorder="1" applyAlignment="1">
      <alignment horizontal="right" vertical="center" wrapText="1" shrinkToFit="1"/>
    </xf>
    <xf numFmtId="207" fontId="7" fillId="0" borderId="12" xfId="0" applyNumberFormat="1" applyFont="1" applyBorder="1" applyAlignment="1">
      <alignment horizontal="right" vertical="center" wrapText="1" shrinkToFit="1"/>
    </xf>
    <xf numFmtId="0" fontId="7" fillId="0" borderId="10" xfId="0" applyFont="1" applyBorder="1" applyAlignment="1">
      <alignment horizontal="center" textRotation="90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4" borderId="0" xfId="0" applyFont="1" applyFill="1" applyBorder="1" applyAlignment="1" applyProtection="1">
      <alignment horizontal="center" wrapText="1"/>
      <protection/>
    </xf>
    <xf numFmtId="0" fontId="0" fillId="4" borderId="17" xfId="0" applyFont="1" applyFill="1" applyBorder="1" applyAlignment="1" applyProtection="1">
      <alignment horizontal="center" wrapText="1"/>
      <protection/>
    </xf>
    <xf numFmtId="207" fontId="0" fillId="0" borderId="10" xfId="0" applyNumberFormat="1" applyBorder="1" applyAlignment="1" applyProtection="1">
      <alignment horizontal="center"/>
      <protection/>
    </xf>
    <xf numFmtId="207" fontId="0" fillId="0" borderId="15" xfId="0" applyNumberFormat="1" applyBorder="1" applyAlignment="1" applyProtection="1">
      <alignment horizontal="center"/>
      <protection/>
    </xf>
    <xf numFmtId="207" fontId="0" fillId="0" borderId="21" xfId="0" applyNumberFormat="1" applyBorder="1" applyAlignment="1" applyProtection="1">
      <alignment horizontal="center"/>
      <protection/>
    </xf>
    <xf numFmtId="207" fontId="0" fillId="0" borderId="12" xfId="0" applyNumberForma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210" fontId="0" fillId="0" borderId="10" xfId="0" applyNumberFormat="1" applyBorder="1" applyAlignment="1" applyProtection="1">
      <alignment horizontal="center"/>
      <protection/>
    </xf>
    <xf numFmtId="210" fontId="0" fillId="0" borderId="1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83" fillId="0" borderId="13" xfId="0" applyFont="1" applyBorder="1" applyAlignment="1" applyProtection="1">
      <alignment horizontal="center" vertical="center" wrapText="1"/>
      <protection/>
    </xf>
    <xf numFmtId="212" fontId="92" fillId="0" borderId="32" xfId="0" applyNumberFormat="1" applyFont="1" applyBorder="1" applyAlignment="1" applyProtection="1">
      <alignment horizontal="center" vertical="center" wrapText="1"/>
      <protection/>
    </xf>
    <xf numFmtId="212" fontId="92" fillId="0" borderId="14" xfId="0" applyNumberFormat="1" applyFont="1" applyBorder="1" applyAlignment="1" applyProtection="1">
      <alignment horizontal="center" vertical="center" wrapText="1"/>
      <protection/>
    </xf>
    <xf numFmtId="212" fontId="0" fillId="0" borderId="10" xfId="0" applyNumberFormat="1" applyFont="1" applyBorder="1" applyAlignment="1" applyProtection="1">
      <alignment horizontal="center" textRotation="90" wrapText="1" shrinkToFit="1"/>
      <protection/>
    </xf>
    <xf numFmtId="212" fontId="0" fillId="0" borderId="10" xfId="0" applyNumberFormat="1" applyFont="1" applyBorder="1" applyAlignment="1" applyProtection="1">
      <alignment horizontal="center" textRotation="90" wrapText="1"/>
      <protection/>
    </xf>
    <xf numFmtId="212" fontId="13" fillId="0" borderId="22" xfId="0" applyNumberFormat="1" applyFont="1" applyBorder="1" applyAlignment="1" applyProtection="1">
      <alignment horizontal="center" textRotation="90" wrapText="1" shrinkToFit="1"/>
      <protection/>
    </xf>
    <xf numFmtId="212" fontId="13" fillId="0" borderId="32" xfId="0" applyNumberFormat="1" applyFont="1" applyBorder="1" applyAlignment="1" applyProtection="1">
      <alignment horizontal="center" textRotation="90" wrapText="1" shrinkToFit="1"/>
      <protection/>
    </xf>
    <xf numFmtId="212" fontId="13" fillId="0" borderId="14" xfId="0" applyNumberFormat="1" applyFont="1" applyBorder="1" applyAlignment="1" applyProtection="1">
      <alignment horizontal="center" textRotation="90" wrapText="1" shrinkToFit="1"/>
      <protection/>
    </xf>
    <xf numFmtId="212" fontId="13" fillId="0" borderId="10" xfId="0" applyNumberFormat="1" applyFont="1" applyBorder="1" applyAlignment="1" applyProtection="1">
      <alignment horizontal="center" textRotation="90" wrapText="1" shrinkToFit="1"/>
      <protection/>
    </xf>
    <xf numFmtId="212" fontId="13" fillId="0" borderId="10" xfId="0" applyNumberFormat="1" applyFont="1" applyBorder="1" applyAlignment="1" applyProtection="1">
      <alignment horizontal="center" vertical="center" wrapText="1" shrinkToFit="1"/>
      <protection/>
    </xf>
    <xf numFmtId="0" fontId="20" fillId="0" borderId="0" xfId="0" applyFont="1" applyAlignment="1">
      <alignment horizontal="left" vertical="center"/>
    </xf>
    <xf numFmtId="212" fontId="7" fillId="0" borderId="15" xfId="0" applyNumberFormat="1" applyFont="1" applyBorder="1" applyAlignment="1" applyProtection="1">
      <alignment horizontal="center" vertical="center" wrapText="1" shrinkToFit="1"/>
      <protection/>
    </xf>
    <xf numFmtId="212" fontId="7" fillId="0" borderId="12" xfId="0" applyNumberFormat="1" applyFont="1" applyBorder="1" applyAlignment="1" applyProtection="1">
      <alignment horizontal="center" vertical="center" wrapText="1" shrinkToFit="1"/>
      <protection/>
    </xf>
    <xf numFmtId="212" fontId="0" fillId="0" borderId="32" xfId="0" applyNumberFormat="1" applyFont="1" applyBorder="1" applyAlignment="1" applyProtection="1">
      <alignment horizontal="center" textRotation="90" wrapText="1"/>
      <protection/>
    </xf>
    <xf numFmtId="212" fontId="0" fillId="0" borderId="14" xfId="0" applyNumberFormat="1" applyFont="1" applyBorder="1" applyAlignment="1" applyProtection="1">
      <alignment horizontal="center" textRotation="90" wrapText="1"/>
      <protection/>
    </xf>
    <xf numFmtId="212" fontId="13" fillId="0" borderId="10" xfId="0" applyNumberFormat="1" applyFont="1" applyBorder="1" applyAlignment="1" applyProtection="1">
      <alignment horizontal="center" vertical="center" textRotation="255" wrapText="1" shrinkToFit="1"/>
      <protection/>
    </xf>
    <xf numFmtId="9" fontId="52" fillId="0" borderId="0" xfId="0" applyNumberFormat="1" applyFont="1" applyAlignment="1" applyProtection="1">
      <alignment horizontal="center"/>
      <protection locked="0"/>
    </xf>
    <xf numFmtId="201" fontId="39" fillId="0" borderId="15" xfId="0" applyNumberFormat="1" applyFont="1" applyBorder="1" applyAlignment="1" applyProtection="1" quotePrefix="1">
      <alignment horizontal="center" vertical="center" wrapText="1"/>
      <protection/>
    </xf>
    <xf numFmtId="201" fontId="39" fillId="0" borderId="12" xfId="0" applyNumberFormat="1" applyFont="1" applyBorder="1" applyAlignment="1" applyProtection="1" quotePrefix="1">
      <alignment horizontal="center" vertical="center" wrapText="1"/>
      <protection/>
    </xf>
    <xf numFmtId="201" fontId="39" fillId="0" borderId="15" xfId="0" applyNumberFormat="1" applyFont="1" applyBorder="1" applyAlignment="1">
      <alignment horizontal="center" vertical="center" wrapText="1"/>
    </xf>
    <xf numFmtId="201" fontId="39" fillId="0" borderId="12" xfId="0" applyNumberFormat="1" applyFont="1" applyBorder="1" applyAlignment="1">
      <alignment horizontal="center" vertical="center" wrapText="1"/>
    </xf>
    <xf numFmtId="201" fontId="39" fillId="0" borderId="15" xfId="0" applyNumberFormat="1" applyFont="1" applyFill="1" applyBorder="1" applyAlignment="1" applyProtection="1" quotePrefix="1">
      <alignment horizontal="center" vertical="center" wrapText="1"/>
      <protection/>
    </xf>
    <xf numFmtId="201" fontId="39" fillId="0" borderId="12" xfId="0" applyNumberFormat="1" applyFont="1" applyFill="1" applyBorder="1" applyAlignment="1" applyProtection="1" quotePrefix="1">
      <alignment horizontal="center" vertical="center" wrapText="1"/>
      <protection/>
    </xf>
    <xf numFmtId="201" fontId="39" fillId="0" borderId="15" xfId="0" applyNumberFormat="1" applyFont="1" applyBorder="1" applyAlignment="1" applyProtection="1">
      <alignment horizontal="center" vertical="center" wrapText="1"/>
      <protection/>
    </xf>
    <xf numFmtId="201" fontId="39" fillId="0" borderId="12" xfId="0" applyNumberFormat="1" applyFont="1" applyBorder="1" applyAlignment="1" applyProtection="1">
      <alignment horizontal="center" vertical="center" wrapText="1"/>
      <protection/>
    </xf>
    <xf numFmtId="0" fontId="31" fillId="0" borderId="15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01" fontId="0" fillId="0" borderId="10" xfId="0" applyNumberFormat="1" applyBorder="1" applyAlignment="1" applyProtection="1" quotePrefix="1">
      <alignment horizontal="center"/>
      <protection locked="0"/>
    </xf>
    <xf numFmtId="201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 wrapText="1"/>
    </xf>
    <xf numFmtId="201" fontId="39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distributed" wrapText="1"/>
    </xf>
    <xf numFmtId="0" fontId="0" fillId="0" borderId="10" xfId="0" applyBorder="1" applyAlignment="1">
      <alignment horizontal="right"/>
    </xf>
    <xf numFmtId="201" fontId="0" fillId="0" borderId="10" xfId="0" applyNumberFormat="1" applyBorder="1" applyAlignment="1" quotePrefix="1">
      <alignment horizontal="center"/>
    </xf>
    <xf numFmtId="201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left" wrapText="1"/>
    </xf>
    <xf numFmtId="201" fontId="39" fillId="0" borderId="15" xfId="0" applyNumberFormat="1" applyFont="1" applyBorder="1" applyAlignment="1" quotePrefix="1">
      <alignment horizontal="center" vertical="center" wrapText="1"/>
    </xf>
    <xf numFmtId="201" fontId="39" fillId="0" borderId="21" xfId="0" applyNumberFormat="1" applyFont="1" applyBorder="1" applyAlignment="1" quotePrefix="1">
      <alignment horizontal="center" vertical="center" wrapText="1"/>
    </xf>
    <xf numFmtId="201" fontId="39" fillId="0" borderId="12" xfId="0" applyNumberFormat="1" applyFont="1" applyBorder="1" applyAlignment="1" quotePrefix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distributed" wrapText="1"/>
    </xf>
    <xf numFmtId="0" fontId="22" fillId="0" borderId="26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5" fillId="0" borderId="13" xfId="0" applyFont="1" applyBorder="1" applyAlignment="1">
      <alignment horizontal="center"/>
    </xf>
    <xf numFmtId="0" fontId="29" fillId="0" borderId="11" xfId="0" applyFont="1" applyBorder="1" applyAlignment="1">
      <alignment horizontal="center" vertical="justify"/>
    </xf>
    <xf numFmtId="0" fontId="29" fillId="0" borderId="18" xfId="0" applyFont="1" applyBorder="1" applyAlignment="1">
      <alignment horizontal="center" vertical="justify"/>
    </xf>
    <xf numFmtId="0" fontId="29" fillId="0" borderId="0" xfId="0" applyFont="1" applyBorder="1" applyAlignment="1">
      <alignment horizontal="center" vertical="justify"/>
    </xf>
    <xf numFmtId="0" fontId="41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textRotation="90" wrapText="1"/>
    </xf>
    <xf numFmtId="0" fontId="41" fillId="0" borderId="13" xfId="0" applyFont="1" applyBorder="1" applyAlignment="1">
      <alignment horizontal="left" vertical="justify"/>
    </xf>
    <xf numFmtId="0" fontId="24" fillId="0" borderId="27" xfId="0" applyFont="1" applyBorder="1" applyAlignment="1">
      <alignment horizontal="center" textRotation="90" wrapText="1"/>
    </xf>
    <xf numFmtId="0" fontId="24" fillId="0" borderId="28" xfId="0" applyFont="1" applyBorder="1" applyAlignment="1">
      <alignment horizontal="center" textRotation="90" wrapText="1"/>
    </xf>
    <xf numFmtId="0" fontId="24" fillId="0" borderId="17" xfId="0" applyFont="1" applyBorder="1" applyAlignment="1">
      <alignment horizontal="center" textRotation="90" wrapText="1"/>
    </xf>
    <xf numFmtId="0" fontId="24" fillId="0" borderId="19" xfId="0" applyFont="1" applyBorder="1" applyAlignment="1">
      <alignment horizontal="center" textRotation="90" wrapText="1"/>
    </xf>
    <xf numFmtId="0" fontId="24" fillId="0" borderId="20" xfId="0" applyFont="1" applyBorder="1" applyAlignment="1">
      <alignment horizontal="center" textRotation="90" wrapText="1"/>
    </xf>
    <xf numFmtId="0" fontId="24" fillId="0" borderId="25" xfId="0" applyFont="1" applyBorder="1" applyAlignment="1">
      <alignment horizontal="center" textRotation="90" wrapText="1"/>
    </xf>
    <xf numFmtId="0" fontId="25" fillId="0" borderId="26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8" fillId="0" borderId="26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justify"/>
    </xf>
    <xf numFmtId="0" fontId="29" fillId="0" borderId="13" xfId="0" applyFont="1" applyBorder="1" applyAlignment="1">
      <alignment horizontal="center" vertical="justify"/>
    </xf>
    <xf numFmtId="1" fontId="28" fillId="0" borderId="26" xfId="0" applyNumberFormat="1" applyFont="1" applyBorder="1" applyAlignment="1">
      <alignment horizontal="right" vertical="center"/>
    </xf>
    <xf numFmtId="0" fontId="4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 horizontal="center" vertical="distributed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4" fillId="0" borderId="22" xfId="0" applyFont="1" applyBorder="1" applyAlignment="1">
      <alignment horizontal="center" textRotation="90" wrapText="1"/>
    </xf>
    <xf numFmtId="0" fontId="24" fillId="0" borderId="32" xfId="0" applyFont="1" applyBorder="1" applyAlignment="1">
      <alignment horizontal="center" textRotation="90" wrapText="1"/>
    </xf>
    <xf numFmtId="0" fontId="24" fillId="0" borderId="14" xfId="0" applyFont="1" applyBorder="1" applyAlignment="1">
      <alignment horizontal="center" textRotation="90" wrapText="1"/>
    </xf>
    <xf numFmtId="0" fontId="33" fillId="0" borderId="0" xfId="0" applyFont="1" applyBorder="1" applyAlignment="1">
      <alignment horizontal="left" vertical="justify"/>
    </xf>
    <xf numFmtId="0" fontId="16" fillId="0" borderId="0" xfId="0" applyFont="1" applyAlignment="1">
      <alignment horizontal="left"/>
    </xf>
    <xf numFmtId="0" fontId="35" fillId="0" borderId="13" xfId="0" applyFont="1" applyBorder="1" applyAlignment="1" applyProtection="1">
      <alignment horizontal="center"/>
      <protection/>
    </xf>
    <xf numFmtId="0" fontId="42" fillId="0" borderId="0" xfId="0" applyFont="1" applyAlignment="1">
      <alignment horizontal="center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/>
    </xf>
    <xf numFmtId="0" fontId="0" fillId="0" borderId="13" xfId="0" applyBorder="1" applyAlignment="1">
      <alignment horizontal="right" vertical="distributed" wrapText="1"/>
    </xf>
    <xf numFmtId="0" fontId="6" fillId="0" borderId="13" xfId="0" applyFont="1" applyBorder="1" applyAlignment="1">
      <alignment horizontal="left"/>
    </xf>
    <xf numFmtId="0" fontId="29" fillId="0" borderId="0" xfId="0" applyFont="1" applyAlignment="1">
      <alignment horizontal="center" vertical="distributed" wrapText="1"/>
    </xf>
    <xf numFmtId="0" fontId="33" fillId="0" borderId="0" xfId="0" applyFont="1" applyBorder="1" applyAlignment="1">
      <alignment horizontal="distributed" vertical="distributed" wrapText="1"/>
    </xf>
    <xf numFmtId="0" fontId="29" fillId="0" borderId="26" xfId="0" applyFont="1" applyBorder="1" applyAlignment="1">
      <alignment horizontal="left" vertical="distributed" wrapText="1"/>
    </xf>
    <xf numFmtId="0" fontId="0" fillId="0" borderId="0" xfId="0" applyAlignment="1">
      <alignment horizontal="distributed" vertical="distributed" wrapText="1"/>
    </xf>
    <xf numFmtId="0" fontId="15" fillId="0" borderId="0" xfId="0" applyFont="1" applyAlignment="1" applyProtection="1">
      <alignment horizontal="left"/>
      <protection/>
    </xf>
    <xf numFmtId="0" fontId="42" fillId="0" borderId="0" xfId="0" applyFont="1" applyBorder="1" applyAlignment="1">
      <alignment horizontal="left"/>
    </xf>
    <xf numFmtId="1" fontId="28" fillId="0" borderId="2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23" fillId="0" borderId="10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207" fontId="23" fillId="0" borderId="15" xfId="0" applyNumberFormat="1" applyFont="1" applyBorder="1" applyAlignment="1" applyProtection="1">
      <alignment horizontal="justify" vertical="top" wrapText="1"/>
      <protection/>
    </xf>
    <xf numFmtId="0" fontId="23" fillId="0" borderId="12" xfId="0" applyFont="1" applyBorder="1" applyAlignment="1" applyProtection="1">
      <alignment horizontal="justify" vertical="top" wrapText="1"/>
      <protection/>
    </xf>
    <xf numFmtId="208" fontId="23" fillId="0" borderId="10" xfId="0" applyNumberFormat="1" applyFont="1" applyBorder="1" applyAlignment="1" applyProtection="1">
      <alignment horizontal="justify" vertical="top" wrapText="1"/>
      <protection/>
    </xf>
    <xf numFmtId="0" fontId="4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208" fontId="23" fillId="0" borderId="15" xfId="0" applyNumberFormat="1" applyFont="1" applyBorder="1" applyAlignment="1" applyProtection="1">
      <alignment horizontal="justify" vertical="top" wrapText="1"/>
      <protection/>
    </xf>
    <xf numFmtId="208" fontId="23" fillId="0" borderId="12" xfId="0" applyNumberFormat="1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center" wrapText="1"/>
      <protection/>
    </xf>
    <xf numFmtId="0" fontId="24" fillId="0" borderId="12" xfId="0" applyFont="1" applyBorder="1" applyAlignment="1" applyProtection="1">
      <alignment horizontal="center" wrapText="1"/>
      <protection/>
    </xf>
    <xf numFmtId="0" fontId="21" fillId="0" borderId="0" xfId="0" applyFont="1" applyAlignment="1" applyProtection="1">
      <alignment horizontal="left" vertical="justify"/>
      <protection/>
    </xf>
    <xf numFmtId="0" fontId="15" fillId="0" borderId="0" xfId="0" applyFont="1" applyAlignment="1" applyProtection="1">
      <alignment horizontal="right"/>
      <protection/>
    </xf>
    <xf numFmtId="9" fontId="52" fillId="0" borderId="18" xfId="0" applyNumberFormat="1" applyFont="1" applyBorder="1" applyAlignment="1">
      <alignment horizontal="center"/>
    </xf>
    <xf numFmtId="9" fontId="52" fillId="0" borderId="0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right" wrapText="1"/>
      <protection/>
    </xf>
    <xf numFmtId="0" fontId="15" fillId="0" borderId="15" xfId="0" applyFont="1" applyBorder="1" applyAlignment="1" applyProtection="1">
      <alignment horizontal="right" wrapText="1"/>
      <protection/>
    </xf>
    <xf numFmtId="0" fontId="15" fillId="0" borderId="21" xfId="0" applyFont="1" applyBorder="1" applyAlignment="1" applyProtection="1">
      <alignment horizontal="right" wrapText="1"/>
      <protection/>
    </xf>
    <xf numFmtId="0" fontId="15" fillId="0" borderId="12" xfId="0" applyFont="1" applyBorder="1" applyAlignment="1" applyProtection="1">
      <alignment horizontal="right" wrapText="1"/>
      <protection/>
    </xf>
    <xf numFmtId="0" fontId="24" fillId="0" borderId="10" xfId="0" applyFont="1" applyBorder="1" applyAlignment="1" applyProtection="1">
      <alignment horizontal="center" wrapText="1"/>
      <protection/>
    </xf>
    <xf numFmtId="0" fontId="15" fillId="0" borderId="10" xfId="0" applyFon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209" fontId="22" fillId="0" borderId="26" xfId="0" applyNumberFormat="1" applyFont="1" applyBorder="1" applyAlignment="1">
      <alignment horizontal="center"/>
    </xf>
    <xf numFmtId="201" fontId="39" fillId="22" borderId="15" xfId="0" applyNumberFormat="1" applyFont="1" applyFill="1" applyBorder="1" applyAlignment="1" applyProtection="1" quotePrefix="1">
      <alignment horizontal="center" vertical="center" wrapText="1"/>
      <protection/>
    </xf>
    <xf numFmtId="201" fontId="39" fillId="22" borderId="12" xfId="0" applyNumberFormat="1" applyFont="1" applyFill="1" applyBorder="1" applyAlignment="1" applyProtection="1" quotePrefix="1">
      <alignment horizontal="center" vertical="center" wrapText="1"/>
      <protection/>
    </xf>
    <xf numFmtId="49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22" fillId="0" borderId="13" xfId="0" applyFont="1" applyBorder="1" applyAlignment="1" applyProtection="1">
      <alignment horizontal="center"/>
      <protection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2" fontId="0" fillId="0" borderId="15" xfId="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2" fontId="0" fillId="0" borderId="21" xfId="0" applyNumberFormat="1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47" fillId="0" borderId="11" xfId="0" applyFont="1" applyBorder="1" applyAlignment="1">
      <alignment horizontal="right"/>
    </xf>
    <xf numFmtId="2" fontId="48" fillId="0" borderId="21" xfId="0" applyNumberFormat="1" applyFont="1" applyBorder="1" applyAlignment="1" applyProtection="1">
      <alignment horizontal="center"/>
      <protection/>
    </xf>
    <xf numFmtId="0" fontId="48" fillId="0" borderId="21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 wrapText="1"/>
      <protection/>
    </xf>
    <xf numFmtId="0" fontId="49" fillId="0" borderId="10" xfId="0" applyFont="1" applyBorder="1" applyAlignment="1">
      <alignment horizontal="center" textRotation="90" wrapText="1"/>
    </xf>
    <xf numFmtId="0" fontId="0" fillId="0" borderId="33" xfId="0" applyBorder="1" applyAlignment="1">
      <alignment horizontal="center" textRotation="90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textRotation="90" wrapText="1"/>
    </xf>
    <xf numFmtId="0" fontId="33" fillId="0" borderId="25" xfId="0" applyFont="1" applyBorder="1" applyAlignment="1">
      <alignment horizontal="center" textRotation="90" wrapText="1"/>
    </xf>
    <xf numFmtId="0" fontId="33" fillId="0" borderId="32" xfId="0" applyFont="1" applyBorder="1" applyAlignment="1">
      <alignment horizontal="center" textRotation="90" wrapText="1"/>
    </xf>
    <xf numFmtId="0" fontId="33" fillId="0" borderId="14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textRotation="90" wrapText="1"/>
      <protection/>
    </xf>
    <xf numFmtId="0" fontId="5" fillId="0" borderId="14" xfId="0" applyFont="1" applyBorder="1" applyAlignment="1" applyProtection="1">
      <alignment horizontal="center" textRotation="90" wrapText="1"/>
      <protection/>
    </xf>
    <xf numFmtId="205" fontId="31" fillId="0" borderId="10" xfId="0" applyNumberFormat="1" applyFont="1" applyBorder="1" applyAlignment="1">
      <alignment horizontal="center" vertical="center" wrapText="1"/>
    </xf>
    <xf numFmtId="205" fontId="31" fillId="0" borderId="15" xfId="0" applyNumberFormat="1" applyFont="1" applyBorder="1" applyAlignment="1">
      <alignment horizontal="center" vertical="center" wrapText="1"/>
    </xf>
    <xf numFmtId="205" fontId="39" fillId="0" borderId="10" xfId="0" applyNumberFormat="1" applyFont="1" applyBorder="1" applyAlignment="1">
      <alignment horizontal="center" vertical="center" wrapText="1"/>
    </xf>
    <xf numFmtId="205" fontId="39" fillId="0" borderId="15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05" fontId="39" fillId="0" borderId="10" xfId="0" applyNumberFormat="1" applyFont="1" applyBorder="1" applyAlignment="1" applyProtection="1">
      <alignment horizontal="center" vertical="center" wrapText="1"/>
      <protection/>
    </xf>
    <xf numFmtId="205" fontId="5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205" fontId="31" fillId="0" borderId="10" xfId="0" applyNumberFormat="1" applyFont="1" applyBorder="1" applyAlignment="1" applyProtection="1">
      <alignment horizontal="center" vertical="center" wrapText="1"/>
      <protection locked="0"/>
    </xf>
    <xf numFmtId="205" fontId="0" fillId="0" borderId="10" xfId="0" applyNumberFormat="1" applyBorder="1" applyAlignment="1">
      <alignment horizontal="center" vertical="center" wrapText="1"/>
    </xf>
    <xf numFmtId="205" fontId="31" fillId="0" borderId="10" xfId="0" applyNumberFormat="1" applyFont="1" applyBorder="1" applyAlignment="1" applyProtection="1">
      <alignment horizontal="center" vertical="center" wrapText="1"/>
      <protection/>
    </xf>
    <xf numFmtId="205" fontId="5" fillId="0" borderId="15" xfId="0" applyNumberFormat="1" applyFont="1" applyBorder="1" applyAlignment="1">
      <alignment horizontal="center" vertical="center" wrapText="1"/>
    </xf>
    <xf numFmtId="205" fontId="39" fillId="0" borderId="15" xfId="0" applyNumberFormat="1" applyFont="1" applyBorder="1" applyAlignment="1" applyProtection="1">
      <alignment horizontal="center" vertical="center" wrapText="1"/>
      <protection/>
    </xf>
    <xf numFmtId="205" fontId="39" fillId="0" borderId="12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/>
    </xf>
    <xf numFmtId="0" fontId="50" fillId="0" borderId="2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211" fontId="77" fillId="0" borderId="20" xfId="0" applyNumberFormat="1" applyFont="1" applyBorder="1" applyAlignment="1">
      <alignment horizontal="right"/>
    </xf>
    <xf numFmtId="211" fontId="77" fillId="0" borderId="17" xfId="0" applyNumberFormat="1" applyFont="1" applyBorder="1" applyAlignment="1">
      <alignment horizontal="right"/>
    </xf>
    <xf numFmtId="211" fontId="14" fillId="0" borderId="17" xfId="0" applyNumberFormat="1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211" fontId="16" fillId="0" borderId="17" xfId="0" applyNumberFormat="1" applyFont="1" applyBorder="1" applyAlignment="1">
      <alignment horizontal="center"/>
    </xf>
    <xf numFmtId="211" fontId="16" fillId="0" borderId="0" xfId="0" applyNumberFormat="1" applyFont="1" applyBorder="1" applyAlignment="1">
      <alignment horizontal="center"/>
    </xf>
    <xf numFmtId="201" fontId="0" fillId="0" borderId="15" xfId="0" applyNumberFormat="1" applyFont="1" applyBorder="1" applyAlignment="1">
      <alignment horizontal="center"/>
    </xf>
    <xf numFmtId="201" fontId="0" fillId="0" borderId="12" xfId="0" applyNumberFormat="1" applyFont="1" applyBorder="1" applyAlignment="1">
      <alignment horizontal="center"/>
    </xf>
    <xf numFmtId="211" fontId="77" fillId="0" borderId="0" xfId="0" applyNumberFormat="1" applyFont="1" applyBorder="1" applyAlignment="1">
      <alignment horizontal="right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211" fontId="77" fillId="0" borderId="27" xfId="0" applyNumberFormat="1" applyFont="1" applyBorder="1" applyAlignment="1">
      <alignment horizontal="right"/>
    </xf>
    <xf numFmtId="211" fontId="77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71" fillId="24" borderId="10" xfId="0" applyFont="1" applyFill="1" applyBorder="1" applyAlignment="1" applyProtection="1">
      <alignment horizontal="center" wrapText="1"/>
      <protection/>
    </xf>
    <xf numFmtId="0" fontId="71" fillId="24" borderId="10" xfId="0" applyFont="1" applyFill="1" applyBorder="1" applyAlignment="1" applyProtection="1">
      <alignment horizontal="center" vertical="center" wrapText="1"/>
      <protection/>
    </xf>
    <xf numFmtId="0" fontId="71" fillId="24" borderId="10" xfId="0" applyFont="1" applyFill="1" applyBorder="1" applyAlignment="1" applyProtection="1">
      <alignment horizontal="left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5" fillId="24" borderId="10" xfId="0" applyFont="1" applyFill="1" applyBorder="1" applyAlignment="1" applyProtection="1">
      <alignment horizontal="left" vertical="center" wrapText="1"/>
      <protection/>
    </xf>
    <xf numFmtId="0" fontId="72" fillId="0" borderId="12" xfId="0" applyFont="1" applyBorder="1" applyAlignment="1" applyProtection="1">
      <alignment horizontal="center"/>
      <protection/>
    </xf>
    <xf numFmtId="0" fontId="72" fillId="0" borderId="10" xfId="0" applyFont="1" applyBorder="1" applyAlignment="1" applyProtection="1">
      <alignment horizontal="center"/>
      <protection/>
    </xf>
    <xf numFmtId="0" fontId="72" fillId="0" borderId="15" xfId="0" applyFont="1" applyBorder="1" applyAlignment="1" applyProtection="1">
      <alignment horizontal="center"/>
      <protection/>
    </xf>
    <xf numFmtId="0" fontId="71" fillId="24" borderId="22" xfId="0" applyFont="1" applyFill="1" applyBorder="1" applyAlignment="1" applyProtection="1">
      <alignment horizontal="center" wrapText="1"/>
      <protection/>
    </xf>
    <xf numFmtId="0" fontId="71" fillId="24" borderId="22" xfId="0" applyFont="1" applyFill="1" applyBorder="1" applyAlignment="1" applyProtection="1">
      <alignment horizontal="center" vertical="center" wrapText="1"/>
      <protection/>
    </xf>
    <xf numFmtId="201" fontId="7" fillId="22" borderId="15" xfId="0" applyNumberFormat="1" applyFont="1" applyFill="1" applyBorder="1" applyAlignment="1" applyProtection="1">
      <alignment horizontal="center" vertical="center" wrapText="1"/>
      <protection/>
    </xf>
    <xf numFmtId="214" fontId="16" fillId="0" borderId="15" xfId="0" applyNumberFormat="1" applyFont="1" applyBorder="1" applyAlignment="1">
      <alignment horizontal="center"/>
    </xf>
    <xf numFmtId="214" fontId="16" fillId="0" borderId="21" xfId="0" applyNumberFormat="1" applyFont="1" applyBorder="1" applyAlignment="1">
      <alignment horizontal="center"/>
    </xf>
    <xf numFmtId="0" fontId="26" fillId="0" borderId="13" xfId="0" applyFont="1" applyBorder="1" applyAlignment="1" applyProtection="1">
      <alignment horizontal="right"/>
      <protection/>
    </xf>
    <xf numFmtId="0" fontId="27" fillId="0" borderId="13" xfId="0" applyFont="1" applyBorder="1" applyAlignment="1" applyProtection="1">
      <alignment horizontal="center"/>
      <protection/>
    </xf>
    <xf numFmtId="209" fontId="5" fillId="0" borderId="10" xfId="0" applyNumberFormat="1" applyFont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22</xdr:row>
      <xdr:rowOff>38100</xdr:rowOff>
    </xdr:from>
    <xdr:to>
      <xdr:col>7</xdr:col>
      <xdr:colOff>228600</xdr:colOff>
      <xdr:row>22</xdr:row>
      <xdr:rowOff>209550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6096000" y="5038725"/>
          <a:ext cx="200025" cy="171450"/>
        </a:xfrm>
        <a:prstGeom prst="straightConnector1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31</xdr:row>
      <xdr:rowOff>152400</xdr:rowOff>
    </xdr:from>
    <xdr:to>
      <xdr:col>6</xdr:col>
      <xdr:colOff>485775</xdr:colOff>
      <xdr:row>31</xdr:row>
      <xdr:rowOff>152400</xdr:rowOff>
    </xdr:to>
    <xdr:sp>
      <xdr:nvSpPr>
        <xdr:cNvPr id="2" name="AutoShape 2"/>
        <xdr:cNvSpPr>
          <a:spLocks/>
        </xdr:cNvSpPr>
      </xdr:nvSpPr>
      <xdr:spPr>
        <a:xfrm flipH="1">
          <a:off x="5410200" y="7515225"/>
          <a:ext cx="457200" cy="0"/>
        </a:xfrm>
        <a:prstGeom prst="straightConnector1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22</xdr:row>
      <xdr:rowOff>38100</xdr:rowOff>
    </xdr:from>
    <xdr:to>
      <xdr:col>7</xdr:col>
      <xdr:colOff>228600</xdr:colOff>
      <xdr:row>22</xdr:row>
      <xdr:rowOff>209550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6096000" y="5038725"/>
          <a:ext cx="200025" cy="171450"/>
        </a:xfrm>
        <a:prstGeom prst="straightConnector1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31</xdr:row>
      <xdr:rowOff>152400</xdr:rowOff>
    </xdr:from>
    <xdr:to>
      <xdr:col>6</xdr:col>
      <xdr:colOff>485775</xdr:colOff>
      <xdr:row>31</xdr:row>
      <xdr:rowOff>152400</xdr:rowOff>
    </xdr:to>
    <xdr:sp>
      <xdr:nvSpPr>
        <xdr:cNvPr id="2" name="AutoShape 2"/>
        <xdr:cNvSpPr>
          <a:spLocks/>
        </xdr:cNvSpPr>
      </xdr:nvSpPr>
      <xdr:spPr>
        <a:xfrm flipH="1">
          <a:off x="5410200" y="7515225"/>
          <a:ext cx="457200" cy="0"/>
        </a:xfrm>
        <a:prstGeom prst="straightConnector1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6"/>
  <sheetViews>
    <sheetView workbookViewId="0" topLeftCell="A1">
      <selection activeCell="B3" sqref="B3:N3"/>
    </sheetView>
  </sheetViews>
  <sheetFormatPr defaultColWidth="9.140625" defaultRowHeight="12.75"/>
  <sheetData>
    <row r="1" spans="1:14" ht="12.75">
      <c r="A1" s="397">
        <v>1</v>
      </c>
      <c r="B1" s="472" t="s">
        <v>343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25.5" customHeight="1">
      <c r="A2" s="397">
        <v>2</v>
      </c>
      <c r="B2" s="473" t="s">
        <v>363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</row>
    <row r="3" spans="1:14" ht="12.75">
      <c r="A3" s="397">
        <v>3</v>
      </c>
      <c r="B3" s="472" t="s">
        <v>346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</row>
    <row r="4" spans="1:14" ht="12.75">
      <c r="A4" s="397">
        <v>4</v>
      </c>
      <c r="B4" s="472" t="s">
        <v>342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</row>
    <row r="5" spans="1:14" ht="12.75">
      <c r="A5" s="397">
        <v>5</v>
      </c>
      <c r="B5" s="472" t="s">
        <v>350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</row>
    <row r="6" spans="1:14" ht="12.75">
      <c r="A6" s="397">
        <v>6</v>
      </c>
      <c r="B6" s="472" t="s">
        <v>344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</row>
    <row r="7" spans="1:14" ht="12.75">
      <c r="A7" s="397">
        <v>7</v>
      </c>
      <c r="B7" s="474" t="s">
        <v>362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</row>
    <row r="8" spans="1:14" ht="12.75">
      <c r="A8" s="397"/>
      <c r="B8" s="472" t="s">
        <v>345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</row>
    <row r="9" spans="1:14" ht="12.75">
      <c r="A9" s="397"/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</row>
    <row r="10" spans="1:14" ht="12.75">
      <c r="A10" s="397"/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</row>
    <row r="11" spans="1:14" ht="12.75">
      <c r="A11" s="397"/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</row>
    <row r="12" spans="1:14" ht="12.75">
      <c r="A12" s="397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</row>
    <row r="13" spans="1:14" ht="12.75">
      <c r="A13" s="397"/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</row>
    <row r="14" spans="1:14" ht="12.75">
      <c r="A14" s="397"/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</row>
    <row r="15" spans="1:14" ht="12.75">
      <c r="A15" s="397"/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</row>
    <row r="16" ht="12.75">
      <c r="A16" s="397"/>
    </row>
  </sheetData>
  <mergeCells count="15">
    <mergeCell ref="B15:N15"/>
    <mergeCell ref="B3:N3"/>
    <mergeCell ref="B7:N7"/>
    <mergeCell ref="B11:N11"/>
    <mergeCell ref="B12:N12"/>
    <mergeCell ref="B13:N13"/>
    <mergeCell ref="B14:N14"/>
    <mergeCell ref="B6:N6"/>
    <mergeCell ref="B8:N8"/>
    <mergeCell ref="B9:N9"/>
    <mergeCell ref="B10:N10"/>
    <mergeCell ref="B2:N2"/>
    <mergeCell ref="B4:N4"/>
    <mergeCell ref="B1:N1"/>
    <mergeCell ref="B5:N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7"/>
  <dimension ref="A1:H50"/>
  <sheetViews>
    <sheetView workbookViewId="0" topLeftCell="A1">
      <selection activeCell="F33" sqref="F33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4" width="13.8515625" style="0" customWidth="1"/>
    <col min="5" max="5" width="16.7109375" style="0" customWidth="1"/>
    <col min="6" max="6" width="12.8515625" style="0" customWidth="1"/>
    <col min="7" max="7" width="10.28125" style="0" bestFit="1" customWidth="1"/>
  </cols>
  <sheetData>
    <row r="1" spans="1:7" ht="15.75">
      <c r="A1" s="56" t="s">
        <v>42</v>
      </c>
      <c r="B1" s="23"/>
      <c r="C1" s="23"/>
      <c r="D1" s="23"/>
      <c r="E1" s="23"/>
      <c r="F1" s="23"/>
      <c r="G1" s="788"/>
    </row>
    <row r="2" spans="1:7" ht="15.75">
      <c r="A2" s="787" t="s">
        <v>43</v>
      </c>
      <c r="B2" s="787"/>
      <c r="C2" s="787"/>
      <c r="D2" s="661"/>
      <c r="E2" s="63">
        <f>Чорн!R1</f>
        <v>3</v>
      </c>
      <c r="F2" s="241">
        <f>IF(Чорн!C3=Дані!A4,Дані!D4,Дані!D5)</f>
        <v>0</v>
      </c>
      <c r="G2" s="789"/>
    </row>
    <row r="3" spans="1:6" ht="15.75">
      <c r="A3" s="58"/>
      <c r="B3" s="23"/>
      <c r="C3" s="23"/>
      <c r="D3" s="23"/>
      <c r="E3" s="23"/>
      <c r="F3" s="23"/>
    </row>
    <row r="4" spans="1:6" ht="15" customHeight="1">
      <c r="A4" s="791" t="s">
        <v>264</v>
      </c>
      <c r="B4" s="791"/>
      <c r="C4" s="791"/>
      <c r="D4" s="791"/>
      <c r="E4" s="216" t="str">
        <f>IF(Чорн!R1&lt;7,Дані!B21,Дані!B22)</f>
        <v>березня</v>
      </c>
      <c r="F4" s="59" t="str">
        <f>CONCATENATE(Чорн!P3,Чорн!Q3)</f>
        <v>2013року</v>
      </c>
    </row>
    <row r="5" spans="1:6" ht="15.75">
      <c r="A5" s="780" t="str">
        <f>CONCATENATE("працівникам  ",IF(Чорн!C3=Дані!A4,Дані!I4,Дані!I5))</f>
        <v>працівникам  Енецької сільської ради</v>
      </c>
      <c r="B5" s="780"/>
      <c r="C5" s="780"/>
      <c r="D5" s="780"/>
      <c r="E5" s="780"/>
      <c r="F5" s="780"/>
    </row>
    <row r="6" spans="1:6" ht="15.75">
      <c r="A6" s="60"/>
      <c r="B6" s="23"/>
      <c r="C6" s="23"/>
      <c r="D6" s="23"/>
      <c r="E6" s="23"/>
      <c r="F6" s="23"/>
    </row>
    <row r="7" spans="1:6" ht="30" customHeight="1">
      <c r="A7" s="67" t="s">
        <v>44</v>
      </c>
      <c r="B7" s="67" t="s">
        <v>313</v>
      </c>
      <c r="C7" s="784" t="s">
        <v>19</v>
      </c>
      <c r="D7" s="785"/>
      <c r="E7" s="67" t="s">
        <v>46</v>
      </c>
      <c r="F7" s="67" t="s">
        <v>47</v>
      </c>
    </row>
    <row r="8" spans="1:6" ht="18" customHeight="1">
      <c r="A8" s="64">
        <v>1</v>
      </c>
      <c r="B8" s="393">
        <f>IF(Чорн!$C$3=Дані!$A$4,Дані!X26,Дані!X41)</f>
        <v>0</v>
      </c>
      <c r="C8" s="782">
        <f>Чорн!C8</f>
        <v>0</v>
      </c>
      <c r="D8" s="783"/>
      <c r="E8" s="329">
        <f>Відом!D10</f>
        <v>0</v>
      </c>
      <c r="F8" s="313">
        <f>Чорн!R8+F32</f>
        <v>0</v>
      </c>
    </row>
    <row r="9" spans="1:6" ht="18" customHeight="1">
      <c r="A9" s="64">
        <v>2</v>
      </c>
      <c r="B9" s="393">
        <f>IF(Чорн!$C$3=Дані!$A$4,Дані!X27,Дані!X42)</f>
        <v>0</v>
      </c>
      <c r="C9" s="779">
        <f>Чорн!C9</f>
        <v>0</v>
      </c>
      <c r="D9" s="779"/>
      <c r="E9" s="329">
        <f>Відом!D11</f>
        <v>0</v>
      </c>
      <c r="F9" s="313">
        <f>Чорн!R9+F33</f>
        <v>0</v>
      </c>
    </row>
    <row r="10" spans="1:6" ht="18" customHeight="1">
      <c r="A10" s="64">
        <v>3</v>
      </c>
      <c r="B10" s="393">
        <f>IF(Чорн!$C$3=Дані!$A$4,Дані!X28,Дані!X43)</f>
        <v>0</v>
      </c>
      <c r="C10" s="779">
        <f>Чорн!C10</f>
        <v>0</v>
      </c>
      <c r="D10" s="779"/>
      <c r="E10" s="329">
        <f>Відом!D12</f>
        <v>0</v>
      </c>
      <c r="F10" s="313">
        <f>Чорн!R10+F34</f>
        <v>0</v>
      </c>
    </row>
    <row r="11" spans="1:6" ht="18" customHeight="1">
      <c r="A11" s="64">
        <v>4</v>
      </c>
      <c r="B11" s="393">
        <f>IF(Чорн!$C$3=Дані!$A$4,Дані!X29,Дані!X49)</f>
        <v>0</v>
      </c>
      <c r="C11" s="779">
        <f>Чорн!C11</f>
        <v>0</v>
      </c>
      <c r="D11" s="779"/>
      <c r="E11" s="329">
        <f>Відом!D13</f>
        <v>0</v>
      </c>
      <c r="F11" s="313">
        <f>Чорн!R11+F35</f>
        <v>0</v>
      </c>
    </row>
    <row r="12" spans="1:6" ht="18" customHeight="1">
      <c r="A12" s="64">
        <v>5</v>
      </c>
      <c r="B12" s="393">
        <f>IF(Чорн!$C$3=Дані!$A$4,Дані!X30,Дані!X55)</f>
        <v>0</v>
      </c>
      <c r="C12" s="779">
        <f>Чорн!C12</f>
        <v>0</v>
      </c>
      <c r="D12" s="779"/>
      <c r="E12" s="329">
        <f>Відом!D14</f>
        <v>0</v>
      </c>
      <c r="F12" s="313">
        <f>Чорн!R12+F36</f>
        <v>0</v>
      </c>
    </row>
    <row r="13" spans="1:6" ht="18" customHeight="1">
      <c r="A13" s="64">
        <v>6</v>
      </c>
      <c r="B13" s="393">
        <f>IF(Чорн!$C$3=Дані!$A$4,Дані!X31,Дані!X56)</f>
        <v>0</v>
      </c>
      <c r="C13" s="779">
        <f>Чорн!C13</f>
        <v>0</v>
      </c>
      <c r="D13" s="779"/>
      <c r="E13" s="329">
        <f>Відом!D15</f>
        <v>0</v>
      </c>
      <c r="F13" s="313">
        <f>Чорн!R13+F37</f>
        <v>0</v>
      </c>
    </row>
    <row r="14" spans="1:6" ht="18" customHeight="1">
      <c r="A14" s="64">
        <v>7</v>
      </c>
      <c r="B14" s="393">
        <f>IF(Чорн!$C$3=Дані!$A$4,Дані!X32,Дані!X57)</f>
        <v>0</v>
      </c>
      <c r="C14" s="779">
        <f>Чорн!C14</f>
        <v>0</v>
      </c>
      <c r="D14" s="779"/>
      <c r="E14" s="329">
        <f>Відом!D16</f>
        <v>0</v>
      </c>
      <c r="F14" s="313">
        <f>Чорн!R14+F43</f>
        <v>0</v>
      </c>
    </row>
    <row r="15" spans="1:6" ht="18" customHeight="1">
      <c r="A15" s="64">
        <v>8</v>
      </c>
      <c r="B15" s="393">
        <f>IF(Чорн!$C$3=Дані!$A$4,Дані!X33,Дані!X58)</f>
        <v>0</v>
      </c>
      <c r="C15" s="779">
        <f>Чорн!C15</f>
        <v>0</v>
      </c>
      <c r="D15" s="779"/>
      <c r="E15" s="329">
        <f>Відом!D17</f>
        <v>0</v>
      </c>
      <c r="F15" s="313">
        <f>Чорн!R15+F44</f>
        <v>0</v>
      </c>
    </row>
    <row r="16" spans="1:6" ht="18" customHeight="1">
      <c r="A16" s="64">
        <v>9</v>
      </c>
      <c r="B16" s="393">
        <f>IF(Чорн!$C$3=Дані!$A$4,Дані!X34,Дані!X59)</f>
        <v>0</v>
      </c>
      <c r="C16" s="779">
        <f>Чорн!C16</f>
        <v>0</v>
      </c>
      <c r="D16" s="779"/>
      <c r="E16" s="329">
        <f>Відом!D18</f>
        <v>0</v>
      </c>
      <c r="F16" s="313">
        <f>Чорн!R16+F45</f>
        <v>0</v>
      </c>
    </row>
    <row r="17" spans="1:6" ht="18" customHeight="1">
      <c r="A17" s="64">
        <v>10</v>
      </c>
      <c r="B17" s="393">
        <f>IF(Чорн!$C$3=Дані!$A$4,Дані!X35,Дані!X60)</f>
        <v>0</v>
      </c>
      <c r="C17" s="779">
        <f>Чорн!C17</f>
        <v>0</v>
      </c>
      <c r="D17" s="779"/>
      <c r="E17" s="329">
        <f>Відом!D19</f>
        <v>0</v>
      </c>
      <c r="F17" s="313">
        <f>Чорн!R17+F46</f>
        <v>0</v>
      </c>
    </row>
    <row r="18" spans="1:6" ht="18" customHeight="1">
      <c r="A18" s="64">
        <v>11</v>
      </c>
      <c r="B18" s="393">
        <f>IF(Чорн!$C$3=Дані!$A$4,Дані!X36,Дані!X61)</f>
        <v>0</v>
      </c>
      <c r="C18" s="779">
        <f>Чорн!C18</f>
        <v>0</v>
      </c>
      <c r="D18" s="779"/>
      <c r="E18" s="329">
        <f>Відом!D20</f>
        <v>0</v>
      </c>
      <c r="F18" s="313">
        <f>Чорн!R18+F47</f>
        <v>0</v>
      </c>
    </row>
    <row r="19" spans="1:6" ht="18" customHeight="1">
      <c r="A19" s="64">
        <v>12</v>
      </c>
      <c r="B19" s="393">
        <f>IF(Чорн!$C$3=Дані!$A$4,Дані!X37,Дані!X62)</f>
        <v>0</v>
      </c>
      <c r="C19" s="779">
        <f>Чорн!C19</f>
        <v>0</v>
      </c>
      <c r="D19" s="779"/>
      <c r="E19" s="329">
        <f>Відом!D21</f>
        <v>0</v>
      </c>
      <c r="F19" s="313">
        <f>Чорн!R19+F48</f>
        <v>0</v>
      </c>
    </row>
    <row r="20" spans="1:6" ht="18" customHeight="1">
      <c r="A20" s="64">
        <v>13</v>
      </c>
      <c r="B20" s="393">
        <f>IF(Чорн!$C$3=Дані!$A$4,Дані!X38,Дані!X63)</f>
        <v>0</v>
      </c>
      <c r="C20" s="779">
        <f>Чорн!C20</f>
        <v>0</v>
      </c>
      <c r="D20" s="779"/>
      <c r="E20" s="329">
        <f>Відом!D22</f>
        <v>0</v>
      </c>
      <c r="F20" s="313">
        <f>Чорн!R20+F49</f>
        <v>0</v>
      </c>
    </row>
    <row r="21" spans="1:6" ht="18" customHeight="1">
      <c r="A21" s="64">
        <v>14</v>
      </c>
      <c r="B21" s="393">
        <f>IF(Чорн!$C$3=Дані!$A$4,Дані!X39,Дані!X64)</f>
        <v>0</v>
      </c>
      <c r="C21" s="779">
        <f>Чорн!C21</f>
        <v>0</v>
      </c>
      <c r="D21" s="779"/>
      <c r="E21" s="329">
        <f>Відом!D23</f>
        <v>0</v>
      </c>
      <c r="F21" s="313">
        <f>Чорн!R21+F50</f>
        <v>0</v>
      </c>
    </row>
    <row r="22" spans="1:8" ht="18" customHeight="1" thickBot="1">
      <c r="A22" s="64">
        <v>15</v>
      </c>
      <c r="B22" s="393">
        <f>IF(Чорн!$C$3=Дані!$A$4,Дані!X40,Дані!X65)</f>
        <v>0</v>
      </c>
      <c r="C22" s="779">
        <f>Чорн!C22</f>
        <v>0</v>
      </c>
      <c r="D22" s="779"/>
      <c r="E22" s="329">
        <f>Відом!D24</f>
        <v>0</v>
      </c>
      <c r="F22" s="313">
        <f>Чорн!R22+F51</f>
        <v>0</v>
      </c>
      <c r="H22" s="176" t="s">
        <v>340</v>
      </c>
    </row>
    <row r="23" spans="1:7" ht="18" customHeight="1" thickBot="1">
      <c r="A23" s="796" t="s">
        <v>48</v>
      </c>
      <c r="B23" s="797"/>
      <c r="C23" s="797"/>
      <c r="D23" s="797"/>
      <c r="E23" s="797"/>
      <c r="F23" s="239">
        <f>ROUND(SUM(F8:F22),2)</f>
        <v>0</v>
      </c>
      <c r="G23" s="123">
        <f>ЗаявкаА!M54</f>
        <v>0</v>
      </c>
    </row>
    <row r="24" spans="1:6" ht="15.75">
      <c r="A24" s="60"/>
      <c r="B24" s="23"/>
      <c r="C24" s="23"/>
      <c r="D24" s="23"/>
      <c r="E24" s="23"/>
      <c r="F24" s="23"/>
    </row>
    <row r="25" spans="1:6" ht="15.75" customHeight="1">
      <c r="A25" s="790" t="s">
        <v>49</v>
      </c>
      <c r="B25" s="790"/>
      <c r="C25" s="786" t="str">
        <f>converter(F23)</f>
        <v>Гривень 00 копійок.</v>
      </c>
      <c r="D25" s="786"/>
      <c r="E25" s="786"/>
      <c r="F25" s="786"/>
    </row>
    <row r="26" spans="1:6" ht="15.75">
      <c r="A26" s="60"/>
      <c r="B26" s="23"/>
      <c r="C26" s="786"/>
      <c r="D26" s="786"/>
      <c r="E26" s="786"/>
      <c r="F26" s="786"/>
    </row>
    <row r="27" spans="1:6" ht="15.75">
      <c r="A27" s="781" t="str">
        <f>Дані!B11</f>
        <v>Сільський голова</v>
      </c>
      <c r="B27" s="781"/>
      <c r="C27" s="781"/>
      <c r="D27" s="174"/>
      <c r="E27" s="174" t="str">
        <f>Дані!D11</f>
        <v>Іваанов</v>
      </c>
      <c r="F27" s="174"/>
    </row>
    <row r="28" spans="1:6" ht="9.75" customHeight="1">
      <c r="A28" s="60"/>
      <c r="B28" s="23"/>
      <c r="C28" s="23"/>
      <c r="D28" s="23"/>
      <c r="E28" s="174"/>
      <c r="F28" s="23"/>
    </row>
    <row r="29" spans="1:6" ht="15.75">
      <c r="A29" s="781" t="str">
        <f>Дані!B12</f>
        <v>Головний бухгалтер</v>
      </c>
      <c r="B29" s="781"/>
      <c r="C29" s="781"/>
      <c r="D29" s="174"/>
      <c r="E29" s="174" t="str">
        <f>Дані!D12</f>
        <v>сідоров</v>
      </c>
      <c r="F29" s="174"/>
    </row>
    <row r="30" ht="49.5" customHeight="1">
      <c r="A30" s="62"/>
    </row>
    <row r="31" spans="1:6" ht="30" customHeight="1">
      <c r="A31" s="67" t="s">
        <v>44</v>
      </c>
      <c r="B31" s="67" t="s">
        <v>45</v>
      </c>
      <c r="C31" s="795" t="s">
        <v>19</v>
      </c>
      <c r="D31" s="795"/>
      <c r="E31" s="67" t="s">
        <v>46</v>
      </c>
      <c r="F31" s="67" t="s">
        <v>47</v>
      </c>
    </row>
    <row r="32" spans="1:8" ht="18" customHeight="1">
      <c r="A32" s="64">
        <v>1</v>
      </c>
      <c r="B32" s="393">
        <f aca="true" t="shared" si="0" ref="B32:C36">B8</f>
        <v>0</v>
      </c>
      <c r="C32" s="777">
        <f t="shared" si="0"/>
        <v>0</v>
      </c>
      <c r="D32" s="778"/>
      <c r="E32" s="329">
        <f>E8</f>
        <v>0</v>
      </c>
      <c r="F32" s="905">
        <v>0</v>
      </c>
      <c r="G32" s="176"/>
      <c r="H32" s="176" t="s">
        <v>238</v>
      </c>
    </row>
    <row r="33" spans="1:6" ht="18" customHeight="1">
      <c r="A33" s="64">
        <v>2</v>
      </c>
      <c r="B33" s="393">
        <f t="shared" si="0"/>
        <v>0</v>
      </c>
      <c r="C33" s="777">
        <f t="shared" si="0"/>
        <v>0</v>
      </c>
      <c r="D33" s="778"/>
      <c r="E33" s="329">
        <f>E9</f>
        <v>0</v>
      </c>
      <c r="F33" s="905"/>
    </row>
    <row r="34" spans="1:6" ht="18" customHeight="1">
      <c r="A34" s="64">
        <v>3</v>
      </c>
      <c r="B34" s="393">
        <f t="shared" si="0"/>
        <v>0</v>
      </c>
      <c r="C34" s="777">
        <f t="shared" si="0"/>
        <v>0</v>
      </c>
      <c r="D34" s="778"/>
      <c r="E34" s="329">
        <f>E10</f>
        <v>0</v>
      </c>
      <c r="F34" s="905"/>
    </row>
    <row r="35" spans="1:6" ht="18" customHeight="1">
      <c r="A35" s="64">
        <v>4</v>
      </c>
      <c r="B35" s="393">
        <f t="shared" si="0"/>
        <v>0</v>
      </c>
      <c r="C35" s="777">
        <f t="shared" si="0"/>
        <v>0</v>
      </c>
      <c r="D35" s="778"/>
      <c r="E35" s="329">
        <f>E11</f>
        <v>0</v>
      </c>
      <c r="F35" s="905"/>
    </row>
    <row r="36" spans="1:6" ht="18" customHeight="1">
      <c r="A36" s="64">
        <v>5</v>
      </c>
      <c r="B36" s="393">
        <f t="shared" si="0"/>
        <v>0</v>
      </c>
      <c r="C36" s="777">
        <f t="shared" si="0"/>
        <v>0</v>
      </c>
      <c r="D36" s="778"/>
      <c r="E36" s="329">
        <f>E12</f>
        <v>0</v>
      </c>
      <c r="F36" s="905"/>
    </row>
    <row r="37" spans="1:6" ht="18" customHeight="1">
      <c r="A37" s="64">
        <v>6</v>
      </c>
      <c r="B37" s="393">
        <f aca="true" t="shared" si="1" ref="B37:C46">B13</f>
        <v>0</v>
      </c>
      <c r="C37" s="777">
        <f t="shared" si="1"/>
        <v>0</v>
      </c>
      <c r="D37" s="778"/>
      <c r="E37" s="329">
        <f aca="true" t="shared" si="2" ref="E37:E46">E13</f>
        <v>0</v>
      </c>
      <c r="F37" s="905"/>
    </row>
    <row r="38" spans="1:6" ht="18" customHeight="1">
      <c r="A38" s="64">
        <v>7</v>
      </c>
      <c r="B38" s="393">
        <f t="shared" si="1"/>
        <v>0</v>
      </c>
      <c r="C38" s="777">
        <f t="shared" si="1"/>
        <v>0</v>
      </c>
      <c r="D38" s="778"/>
      <c r="E38" s="329">
        <f t="shared" si="2"/>
        <v>0</v>
      </c>
      <c r="F38" s="905"/>
    </row>
    <row r="39" spans="1:6" ht="18" customHeight="1">
      <c r="A39" s="64">
        <v>8</v>
      </c>
      <c r="B39" s="393">
        <f t="shared" si="1"/>
        <v>0</v>
      </c>
      <c r="C39" s="777">
        <f t="shared" si="1"/>
        <v>0</v>
      </c>
      <c r="D39" s="778"/>
      <c r="E39" s="329">
        <f t="shared" si="2"/>
        <v>0</v>
      </c>
      <c r="F39" s="905"/>
    </row>
    <row r="40" spans="1:6" ht="18" customHeight="1">
      <c r="A40" s="64">
        <v>9</v>
      </c>
      <c r="B40" s="393">
        <f t="shared" si="1"/>
        <v>0</v>
      </c>
      <c r="C40" s="777">
        <f t="shared" si="1"/>
        <v>0</v>
      </c>
      <c r="D40" s="778"/>
      <c r="E40" s="329">
        <f t="shared" si="2"/>
        <v>0</v>
      </c>
      <c r="F40" s="905"/>
    </row>
    <row r="41" spans="1:6" ht="18" customHeight="1">
      <c r="A41" s="64">
        <v>10</v>
      </c>
      <c r="B41" s="393">
        <f t="shared" si="1"/>
        <v>0</v>
      </c>
      <c r="C41" s="777">
        <f t="shared" si="1"/>
        <v>0</v>
      </c>
      <c r="D41" s="778"/>
      <c r="E41" s="329">
        <f t="shared" si="2"/>
        <v>0</v>
      </c>
      <c r="F41" s="905"/>
    </row>
    <row r="42" spans="1:6" ht="18" customHeight="1">
      <c r="A42" s="64">
        <v>11</v>
      </c>
      <c r="B42" s="393">
        <f t="shared" si="1"/>
        <v>0</v>
      </c>
      <c r="C42" s="777">
        <f t="shared" si="1"/>
        <v>0</v>
      </c>
      <c r="D42" s="778"/>
      <c r="E42" s="329">
        <f t="shared" si="2"/>
        <v>0</v>
      </c>
      <c r="F42" s="905"/>
    </row>
    <row r="43" spans="1:6" ht="18" customHeight="1">
      <c r="A43" s="64">
        <v>12</v>
      </c>
      <c r="B43" s="393">
        <f t="shared" si="1"/>
        <v>0</v>
      </c>
      <c r="C43" s="777">
        <f t="shared" si="1"/>
        <v>0</v>
      </c>
      <c r="D43" s="778"/>
      <c r="E43" s="329">
        <f t="shared" si="2"/>
        <v>0</v>
      </c>
      <c r="F43" s="905"/>
    </row>
    <row r="44" spans="1:6" ht="18" customHeight="1">
      <c r="A44" s="64">
        <v>13</v>
      </c>
      <c r="B44" s="393">
        <f t="shared" si="1"/>
        <v>0</v>
      </c>
      <c r="C44" s="777">
        <f t="shared" si="1"/>
        <v>0</v>
      </c>
      <c r="D44" s="778"/>
      <c r="E44" s="329">
        <f t="shared" si="2"/>
        <v>0</v>
      </c>
      <c r="F44" s="905"/>
    </row>
    <row r="45" spans="1:6" ht="18" customHeight="1">
      <c r="A45" s="64">
        <v>14</v>
      </c>
      <c r="B45" s="393">
        <f t="shared" si="1"/>
        <v>0</v>
      </c>
      <c r="C45" s="777">
        <f t="shared" si="1"/>
        <v>0</v>
      </c>
      <c r="D45" s="778"/>
      <c r="E45" s="329">
        <f t="shared" si="2"/>
        <v>0</v>
      </c>
      <c r="F45" s="905"/>
    </row>
    <row r="46" spans="1:6" ht="18" customHeight="1">
      <c r="A46" s="64">
        <v>15</v>
      </c>
      <c r="B46" s="393">
        <f t="shared" si="1"/>
        <v>0</v>
      </c>
      <c r="C46" s="777">
        <f t="shared" si="1"/>
        <v>0</v>
      </c>
      <c r="D46" s="778"/>
      <c r="E46" s="329">
        <f t="shared" si="2"/>
        <v>0</v>
      </c>
      <c r="F46" s="905"/>
    </row>
    <row r="47" spans="1:6" ht="18" customHeight="1">
      <c r="A47" s="792" t="s">
        <v>48</v>
      </c>
      <c r="B47" s="793"/>
      <c r="C47" s="793"/>
      <c r="D47" s="793"/>
      <c r="E47" s="794"/>
      <c r="F47" s="313">
        <f>SUM(F32:F46)</f>
        <v>0</v>
      </c>
    </row>
    <row r="48" spans="1:6" ht="15.75">
      <c r="A48" s="60"/>
      <c r="B48" s="23"/>
      <c r="C48" s="23"/>
      <c r="D48" s="23"/>
      <c r="E48" s="23"/>
      <c r="F48" s="23"/>
    </row>
    <row r="49" spans="1:6" ht="15" customHeight="1">
      <c r="A49" s="790" t="s">
        <v>49</v>
      </c>
      <c r="B49" s="790"/>
      <c r="C49" s="786" t="str">
        <f>converter(F47)</f>
        <v>Гривень 00 копійок.</v>
      </c>
      <c r="D49" s="786"/>
      <c r="E49" s="786"/>
      <c r="F49" s="786"/>
    </row>
    <row r="50" spans="1:6" ht="15.75">
      <c r="A50" s="60"/>
      <c r="B50" s="23"/>
      <c r="C50" s="786"/>
      <c r="D50" s="786"/>
      <c r="E50" s="786"/>
      <c r="F50" s="786"/>
    </row>
  </sheetData>
  <sheetProtection sheet="1" objects="1" formatCells="0" selectLockedCells="1"/>
  <mergeCells count="44">
    <mergeCell ref="A25:B25"/>
    <mergeCell ref="C36:D36"/>
    <mergeCell ref="A2:D2"/>
    <mergeCell ref="G1:G2"/>
    <mergeCell ref="A49:B49"/>
    <mergeCell ref="C49:F50"/>
    <mergeCell ref="C34:D34"/>
    <mergeCell ref="A4:D4"/>
    <mergeCell ref="A47:E47"/>
    <mergeCell ref="C31:D31"/>
    <mergeCell ref="A23:E23"/>
    <mergeCell ref="C46:D46"/>
    <mergeCell ref="C45:D45"/>
    <mergeCell ref="C37:D37"/>
    <mergeCell ref="C43:D43"/>
    <mergeCell ref="C44:D44"/>
    <mergeCell ref="A5:F5"/>
    <mergeCell ref="A29:C29"/>
    <mergeCell ref="C13:D13"/>
    <mergeCell ref="C14:D14"/>
    <mergeCell ref="C15:D15"/>
    <mergeCell ref="C16:D16"/>
    <mergeCell ref="C22:D22"/>
    <mergeCell ref="A27:C27"/>
    <mergeCell ref="C8:D8"/>
    <mergeCell ref="C7:D7"/>
    <mergeCell ref="C12:D12"/>
    <mergeCell ref="C11:D11"/>
    <mergeCell ref="C10:D10"/>
    <mergeCell ref="C9:D9"/>
    <mergeCell ref="C21:D21"/>
    <mergeCell ref="C38:D38"/>
    <mergeCell ref="C17:D17"/>
    <mergeCell ref="C18:D18"/>
    <mergeCell ref="C19:D19"/>
    <mergeCell ref="C20:D20"/>
    <mergeCell ref="C25:F26"/>
    <mergeCell ref="C33:D33"/>
    <mergeCell ref="C32:D32"/>
    <mergeCell ref="C35:D35"/>
    <mergeCell ref="C39:D39"/>
    <mergeCell ref="C40:D40"/>
    <mergeCell ref="C41:D41"/>
    <mergeCell ref="C42:D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/>
  <dimension ref="A1:N84"/>
  <sheetViews>
    <sheetView zoomScalePageLayoutView="0" workbookViewId="0" topLeftCell="A1">
      <selection activeCell="A74" sqref="A74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7.7109375" style="0" customWidth="1"/>
    <col min="4" max="12" width="6.7109375" style="0" customWidth="1"/>
    <col min="13" max="13" width="7.7109375" style="0" customWidth="1"/>
  </cols>
  <sheetData>
    <row r="1" spans="6:14" ht="12.75" customHeight="1">
      <c r="F1" s="732" t="s">
        <v>244</v>
      </c>
      <c r="G1" s="732"/>
      <c r="H1" s="732"/>
      <c r="I1" s="732"/>
      <c r="J1" s="732"/>
      <c r="K1" s="732"/>
      <c r="L1" s="732"/>
      <c r="M1" s="732"/>
      <c r="N1" s="681"/>
    </row>
    <row r="2" spans="6:14" ht="12.75">
      <c r="F2" s="732"/>
      <c r="G2" s="732"/>
      <c r="H2" s="732"/>
      <c r="I2" s="732"/>
      <c r="J2" s="732"/>
      <c r="K2" s="732"/>
      <c r="L2" s="732"/>
      <c r="M2" s="732"/>
      <c r="N2" s="681"/>
    </row>
    <row r="3" spans="6:13" ht="15" customHeight="1">
      <c r="F3" s="732"/>
      <c r="G3" s="732"/>
      <c r="H3" s="732"/>
      <c r="I3" s="732"/>
      <c r="J3" s="732"/>
      <c r="K3" s="732"/>
      <c r="L3" s="732"/>
      <c r="M3" s="732"/>
    </row>
    <row r="4" spans="1:13" ht="15" customHeight="1">
      <c r="A4" s="798" t="s">
        <v>102</v>
      </c>
      <c r="B4" s="799"/>
      <c r="C4" s="800"/>
      <c r="D4" s="801"/>
      <c r="E4" s="802"/>
      <c r="F4" s="802"/>
      <c r="G4" s="802"/>
      <c r="H4" s="802"/>
      <c r="I4" s="802"/>
      <c r="J4" s="802"/>
      <c r="K4" s="803"/>
      <c r="L4" s="82"/>
      <c r="M4" s="82"/>
    </row>
    <row r="5" spans="1:13" ht="15" customHeight="1">
      <c r="A5" s="798" t="s">
        <v>149</v>
      </c>
      <c r="B5" s="799"/>
      <c r="C5" s="800"/>
      <c r="D5" s="83"/>
      <c r="E5" s="83"/>
      <c r="F5" s="83"/>
      <c r="G5" s="84"/>
      <c r="H5" s="84"/>
      <c r="I5" s="84"/>
      <c r="J5" s="84"/>
      <c r="K5" s="85"/>
      <c r="L5" s="82"/>
      <c r="M5" s="82"/>
    </row>
    <row r="6" spans="1:13" ht="15" customHeight="1">
      <c r="A6" s="798" t="s">
        <v>148</v>
      </c>
      <c r="B6" s="799"/>
      <c r="C6" s="799"/>
      <c r="D6" s="799"/>
      <c r="E6" s="799"/>
      <c r="F6" s="799"/>
      <c r="G6" s="799"/>
      <c r="H6" s="799"/>
      <c r="I6" s="799"/>
      <c r="J6" s="799"/>
      <c r="K6" s="800"/>
      <c r="L6" s="86"/>
      <c r="M6" s="86"/>
    </row>
    <row r="7" spans="1:13" ht="21.75" customHeight="1" thickBot="1">
      <c r="A7" s="725" t="str">
        <f>Дані!B1</f>
        <v>УДКСУ  у   районі</v>
      </c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</row>
    <row r="8" spans="1:13" ht="9" customHeight="1">
      <c r="A8" s="726" t="s">
        <v>103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</row>
    <row r="9" spans="1:13" ht="13.5" customHeight="1">
      <c r="A9" s="735" t="s">
        <v>50</v>
      </c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</row>
    <row r="10" spans="1:13" ht="13.5" customHeight="1">
      <c r="A10" s="736" t="s">
        <v>51</v>
      </c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</row>
    <row r="11" spans="1:13" ht="13.5" customHeight="1">
      <c r="A11" s="736" t="s">
        <v>52</v>
      </c>
      <c r="B11" s="736"/>
      <c r="C11" s="736"/>
      <c r="D11" s="736"/>
      <c r="E11" s="736"/>
      <c r="F11" s="736"/>
      <c r="G11" s="736"/>
      <c r="H11" s="736"/>
      <c r="I11" s="736"/>
      <c r="J11" s="736"/>
      <c r="K11" s="736"/>
      <c r="L11" s="736"/>
      <c r="M11" s="736"/>
    </row>
    <row r="12" spans="1:13" ht="15" customHeight="1">
      <c r="A12" s="87"/>
      <c r="B12" s="87"/>
      <c r="C12" s="87"/>
      <c r="D12" s="88"/>
      <c r="E12" s="903">
        <f>Дані!B8</f>
        <v>28</v>
      </c>
      <c r="F12" s="904" t="str">
        <f>IF(Чорн!R1&lt;7,Дані!B21,Дані!B22)</f>
        <v>березня</v>
      </c>
      <c r="G12" s="904"/>
      <c r="H12" s="87">
        <f>Чорн!P3</f>
        <v>2013</v>
      </c>
      <c r="I12" s="87" t="s">
        <v>37</v>
      </c>
      <c r="J12" s="87"/>
      <c r="K12" s="87"/>
      <c r="L12" s="87"/>
      <c r="M12" s="87"/>
    </row>
    <row r="13" spans="1:13" ht="21.75" customHeight="1" thickBot="1">
      <c r="A13" s="728" t="str">
        <f>Дані!B2</f>
        <v> сільська  рада</v>
      </c>
      <c r="B13" s="728"/>
      <c r="C13" s="728"/>
      <c r="D13" s="728"/>
      <c r="E13" s="728"/>
      <c r="F13" s="728"/>
      <c r="G13" s="728"/>
      <c r="H13" s="728"/>
      <c r="I13" s="728"/>
      <c r="J13" s="728"/>
      <c r="K13" s="728"/>
      <c r="L13" s="728"/>
      <c r="M13" s="728"/>
    </row>
    <row r="14" spans="1:13" ht="7.5" customHeight="1">
      <c r="A14" s="712" t="s">
        <v>104</v>
      </c>
      <c r="B14" s="712"/>
      <c r="C14" s="712"/>
      <c r="D14" s="712"/>
      <c r="E14" s="712"/>
      <c r="F14" s="712"/>
      <c r="G14" s="712"/>
      <c r="H14" s="712"/>
      <c r="I14" s="712"/>
      <c r="J14" s="712"/>
      <c r="K14" s="712"/>
      <c r="L14" s="712"/>
      <c r="M14" s="712"/>
    </row>
    <row r="15" spans="1:13" ht="18.75" customHeight="1" thickBot="1">
      <c r="A15" s="731" t="str">
        <f>IF(I15=Дані!A4,Дані!B4,Дані!B5)</f>
        <v>35414001******,</v>
      </c>
      <c r="B15" s="731"/>
      <c r="C15" s="731"/>
      <c r="D15" s="731"/>
      <c r="E15" s="731"/>
      <c r="F15" s="731"/>
      <c r="G15" s="731"/>
      <c r="H15" s="731"/>
      <c r="I15" s="764" t="str">
        <f>Чорн!C3</f>
        <v>010116</v>
      </c>
      <c r="J15" s="764"/>
      <c r="K15" s="226"/>
      <c r="L15" s="226"/>
      <c r="M15" s="226"/>
    </row>
    <row r="16" spans="1:13" ht="8.25" customHeight="1">
      <c r="A16" s="711" t="s">
        <v>150</v>
      </c>
      <c r="B16" s="711"/>
      <c r="C16" s="711"/>
      <c r="D16" s="711"/>
      <c r="E16" s="711"/>
      <c r="F16" s="711"/>
      <c r="G16" s="711"/>
      <c r="H16" s="711"/>
      <c r="I16" s="711"/>
      <c r="J16" s="711"/>
      <c r="K16" s="711"/>
      <c r="L16" s="711"/>
      <c r="M16" s="711"/>
    </row>
    <row r="17" spans="1:11" ht="15" customHeight="1">
      <c r="A17" s="90" t="s">
        <v>111</v>
      </c>
      <c r="E17" s="91"/>
      <c r="J17" s="21"/>
      <c r="K17" s="21"/>
    </row>
    <row r="18" spans="1:13" ht="45" customHeight="1" thickBot="1">
      <c r="A18" s="804" t="str">
        <f>CONCATENATE("Заробітна плата за другу половину ",F12,"  КЕКВ 2111 -",D54+M54,";  КЕКВ 2120 - ",G63,";")</f>
        <v>Заробітна плата за другу половину березня  КЕКВ 2111 -3551,5;  КЕКВ 2120 - 357,49;</v>
      </c>
      <c r="B18" s="804"/>
      <c r="C18" s="804"/>
      <c r="D18" s="804"/>
      <c r="E18" s="804"/>
      <c r="F18" s="804"/>
      <c r="G18" s="804"/>
      <c r="H18" s="804"/>
      <c r="I18" s="804"/>
      <c r="J18" s="804"/>
      <c r="K18" s="804"/>
      <c r="L18" s="804"/>
      <c r="M18" s="804"/>
    </row>
    <row r="19" spans="1:13" ht="8.25" customHeight="1">
      <c r="A19" s="711" t="s">
        <v>317</v>
      </c>
      <c r="B19" s="711"/>
      <c r="C19" s="712"/>
      <c r="D19" s="712"/>
      <c r="E19" s="712"/>
      <c r="F19" s="712"/>
      <c r="G19" s="712"/>
      <c r="H19" s="712"/>
      <c r="I19" s="712"/>
      <c r="J19" s="712"/>
      <c r="K19" s="712"/>
      <c r="L19" s="712"/>
      <c r="M19" s="712"/>
    </row>
    <row r="20" spans="1:13" ht="15" customHeight="1">
      <c r="A20" s="708" t="s">
        <v>105</v>
      </c>
      <c r="B20" s="708"/>
      <c r="C20" s="708"/>
      <c r="D20" s="709" t="str">
        <f>converter(M54)</f>
        <v>Три тисячі двісті дев'ять гривень 31 копійка.</v>
      </c>
      <c r="E20" s="709"/>
      <c r="F20" s="709"/>
      <c r="G20" s="709"/>
      <c r="H20" s="709"/>
      <c r="I20" s="709"/>
      <c r="J20" s="709"/>
      <c r="K20" s="709"/>
      <c r="L20" s="709"/>
      <c r="M20" s="709"/>
    </row>
    <row r="21" spans="1:13" ht="7.5" customHeight="1">
      <c r="A21" s="92"/>
      <c r="B21" s="92"/>
      <c r="C21" s="89"/>
      <c r="D21" s="89"/>
      <c r="E21" s="89"/>
      <c r="F21" s="89"/>
      <c r="G21" s="89"/>
      <c r="H21" s="710" t="s">
        <v>151</v>
      </c>
      <c r="I21" s="710"/>
      <c r="J21" s="89"/>
      <c r="K21" s="89"/>
      <c r="L21" s="89"/>
      <c r="M21" s="89"/>
    </row>
    <row r="22" spans="1:13" ht="15" customHeight="1" thickBot="1">
      <c r="A22" s="708" t="s">
        <v>106</v>
      </c>
      <c r="B22" s="708"/>
      <c r="C22" s="729"/>
      <c r="D22" s="729"/>
      <c r="E22" s="729"/>
      <c r="F22" s="729"/>
      <c r="G22" s="729"/>
      <c r="H22" s="729"/>
      <c r="I22" s="729"/>
      <c r="J22" s="729"/>
      <c r="K22" s="729"/>
      <c r="L22" s="729"/>
      <c r="M22" s="729"/>
    </row>
    <row r="23" spans="1:13" ht="8.25" customHeight="1">
      <c r="A23" s="711" t="s">
        <v>317</v>
      </c>
      <c r="B23" s="711"/>
      <c r="C23" s="712"/>
      <c r="D23" s="712"/>
      <c r="E23" s="712"/>
      <c r="F23" s="712"/>
      <c r="G23" s="712"/>
      <c r="H23" s="712"/>
      <c r="I23" s="712"/>
      <c r="J23" s="712"/>
      <c r="K23" s="712"/>
      <c r="L23" s="712"/>
      <c r="M23" s="712"/>
    </row>
    <row r="24" spans="1:13" ht="15" customHeight="1">
      <c r="A24" s="708" t="s">
        <v>107</v>
      </c>
      <c r="B24" s="708"/>
      <c r="C24" s="730"/>
      <c r="D24" s="730"/>
      <c r="E24" s="730"/>
      <c r="F24" s="730"/>
      <c r="G24" s="730"/>
      <c r="H24" s="730"/>
      <c r="I24" s="730"/>
      <c r="J24" s="730"/>
      <c r="K24" s="730"/>
      <c r="L24" s="730"/>
      <c r="M24" s="730"/>
    </row>
    <row r="25" spans="1:13" ht="7.5" customHeight="1">
      <c r="A25" s="92"/>
      <c r="B25" s="92"/>
      <c r="C25" s="89"/>
      <c r="D25" s="89"/>
      <c r="E25" s="89"/>
      <c r="F25" s="89"/>
      <c r="G25" s="89"/>
      <c r="H25" s="710" t="s">
        <v>151</v>
      </c>
      <c r="I25" s="710"/>
      <c r="J25" s="89"/>
      <c r="K25" s="89"/>
      <c r="L25" s="89"/>
      <c r="M25" s="89"/>
    </row>
    <row r="26" spans="1:13" ht="15" customHeight="1">
      <c r="A26" s="737" t="s">
        <v>53</v>
      </c>
      <c r="B26" s="737"/>
      <c r="C26" s="737"/>
      <c r="D26" s="737"/>
      <c r="E26" s="737"/>
      <c r="F26" s="737"/>
      <c r="G26" s="737"/>
      <c r="H26" s="737"/>
      <c r="I26" s="737"/>
      <c r="J26" s="737"/>
      <c r="K26" s="737"/>
      <c r="L26" s="737"/>
      <c r="M26" s="737"/>
    </row>
    <row r="27" spans="1:13" ht="9" customHeight="1">
      <c r="A27" s="712" t="s">
        <v>54</v>
      </c>
      <c r="B27" s="712"/>
      <c r="C27" s="712"/>
      <c r="D27" s="712"/>
      <c r="E27" s="712"/>
      <c r="F27" s="712"/>
      <c r="G27" s="712"/>
      <c r="H27" s="712"/>
      <c r="I27" s="712"/>
      <c r="J27" s="712"/>
      <c r="K27" s="712"/>
      <c r="L27" s="712"/>
      <c r="M27" s="712"/>
    </row>
    <row r="28" spans="1:13" ht="15" customHeight="1">
      <c r="A28" s="741" t="s">
        <v>55</v>
      </c>
      <c r="B28" s="741"/>
      <c r="C28" s="741"/>
      <c r="D28" s="741"/>
      <c r="E28" s="741"/>
      <c r="F28" s="741"/>
      <c r="G28" s="741"/>
      <c r="H28" s="741"/>
      <c r="I28" s="741"/>
      <c r="J28" s="741"/>
      <c r="K28" s="741"/>
      <c r="L28" s="741"/>
      <c r="M28" s="741"/>
    </row>
    <row r="29" spans="1:13" ht="15" customHeight="1">
      <c r="A29" s="472" t="s">
        <v>112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</row>
    <row r="30" spans="1:13" ht="15" customHeight="1">
      <c r="A30" s="642" t="s">
        <v>224</v>
      </c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</row>
    <row r="31" spans="1:13" ht="9" customHeight="1">
      <c r="A31" s="744" t="s">
        <v>108</v>
      </c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</row>
    <row r="32" spans="1:13" ht="15" customHeight="1">
      <c r="A32" s="742" t="s">
        <v>318</v>
      </c>
      <c r="B32" s="742"/>
      <c r="C32" s="742"/>
      <c r="D32" s="742"/>
      <c r="E32" s="742"/>
      <c r="F32" s="742"/>
      <c r="G32" s="743" t="str">
        <f>Чорн!M3</f>
        <v>березень</v>
      </c>
      <c r="H32" s="743"/>
      <c r="I32" s="742" t="s">
        <v>223</v>
      </c>
      <c r="J32" s="742"/>
      <c r="K32" s="742"/>
      <c r="L32" s="742"/>
      <c r="M32" s="742"/>
    </row>
    <row r="33" spans="1:13" ht="15" customHeight="1">
      <c r="A33" s="765" t="s">
        <v>56</v>
      </c>
      <c r="B33" s="765"/>
      <c r="C33" s="765"/>
      <c r="D33" s="765"/>
      <c r="E33" s="765"/>
      <c r="F33" s="765"/>
      <c r="G33" s="765"/>
      <c r="H33" s="765"/>
      <c r="I33" s="765"/>
      <c r="J33" s="765"/>
      <c r="K33" s="765"/>
      <c r="L33" s="765"/>
      <c r="M33" s="765"/>
    </row>
    <row r="34" spans="1:13" ht="12" customHeight="1">
      <c r="A34" s="768" t="s">
        <v>57</v>
      </c>
      <c r="B34" s="745" t="s">
        <v>58</v>
      </c>
      <c r="C34" s="746"/>
      <c r="D34" s="749" t="s">
        <v>5</v>
      </c>
      <c r="E34" s="750"/>
      <c r="F34" s="750"/>
      <c r="G34" s="750"/>
      <c r="H34" s="750"/>
      <c r="I34" s="750"/>
      <c r="J34" s="750"/>
      <c r="K34" s="751"/>
      <c r="L34" s="717" t="s">
        <v>59</v>
      </c>
      <c r="M34" s="717" t="s">
        <v>60</v>
      </c>
    </row>
    <row r="35" spans="1:13" ht="12" customHeight="1">
      <c r="A35" s="769"/>
      <c r="B35" s="747"/>
      <c r="C35" s="748"/>
      <c r="D35" s="752"/>
      <c r="E35" s="753"/>
      <c r="F35" s="753"/>
      <c r="G35" s="753"/>
      <c r="H35" s="753"/>
      <c r="I35" s="753"/>
      <c r="J35" s="753"/>
      <c r="K35" s="754"/>
      <c r="L35" s="717"/>
      <c r="M35" s="717"/>
    </row>
    <row r="36" spans="1:13" ht="15" customHeight="1">
      <c r="A36" s="769"/>
      <c r="B36" s="716" t="s">
        <v>61</v>
      </c>
      <c r="C36" s="716" t="s">
        <v>47</v>
      </c>
      <c r="D36" s="717" t="s">
        <v>62</v>
      </c>
      <c r="E36" s="719" t="s">
        <v>155</v>
      </c>
      <c r="F36" s="720"/>
      <c r="G36" s="719" t="s">
        <v>165</v>
      </c>
      <c r="H36" s="720"/>
      <c r="I36" s="738" t="s">
        <v>63</v>
      </c>
      <c r="J36" s="717" t="s">
        <v>64</v>
      </c>
      <c r="K36" s="717" t="s">
        <v>153</v>
      </c>
      <c r="L36" s="717"/>
      <c r="M36" s="717"/>
    </row>
    <row r="37" spans="1:13" ht="49.5" customHeight="1">
      <c r="A37" s="769"/>
      <c r="B37" s="716"/>
      <c r="C37" s="716"/>
      <c r="D37" s="717"/>
      <c r="E37" s="721"/>
      <c r="F37" s="722"/>
      <c r="G37" s="721"/>
      <c r="H37" s="722"/>
      <c r="I37" s="739"/>
      <c r="J37" s="717"/>
      <c r="K37" s="717"/>
      <c r="L37" s="717"/>
      <c r="M37" s="717"/>
    </row>
    <row r="38" spans="1:13" ht="49.5" customHeight="1">
      <c r="A38" s="769"/>
      <c r="B38" s="716"/>
      <c r="C38" s="716"/>
      <c r="D38" s="717"/>
      <c r="E38" s="721"/>
      <c r="F38" s="722"/>
      <c r="G38" s="721"/>
      <c r="H38" s="722"/>
      <c r="I38" s="739"/>
      <c r="J38" s="717"/>
      <c r="K38" s="717"/>
      <c r="L38" s="717"/>
      <c r="M38" s="717"/>
    </row>
    <row r="39" spans="1:13" ht="22.5" customHeight="1">
      <c r="A39" s="770"/>
      <c r="B39" s="716"/>
      <c r="C39" s="716"/>
      <c r="D39" s="717"/>
      <c r="E39" s="723"/>
      <c r="F39" s="724"/>
      <c r="G39" s="723"/>
      <c r="H39" s="724"/>
      <c r="I39" s="740"/>
      <c r="J39" s="717"/>
      <c r="K39" s="717"/>
      <c r="L39" s="717"/>
      <c r="M39" s="717"/>
    </row>
    <row r="40" spans="1:13" ht="12.75" customHeight="1">
      <c r="A40" s="118">
        <v>1</v>
      </c>
      <c r="B40" s="119">
        <v>2</v>
      </c>
      <c r="C40" s="119">
        <v>3</v>
      </c>
      <c r="D40" s="120">
        <v>4</v>
      </c>
      <c r="E40" s="690">
        <v>5</v>
      </c>
      <c r="F40" s="691"/>
      <c r="G40" s="690">
        <v>6</v>
      </c>
      <c r="H40" s="691"/>
      <c r="I40" s="121">
        <v>7</v>
      </c>
      <c r="J40" s="120">
        <v>8</v>
      </c>
      <c r="K40" s="120">
        <v>9</v>
      </c>
      <c r="L40" s="120">
        <v>10</v>
      </c>
      <c r="M40" s="120">
        <v>11</v>
      </c>
    </row>
    <row r="41" spans="1:13" ht="28.5" customHeight="1">
      <c r="A41" s="93">
        <v>1</v>
      </c>
      <c r="B41" s="94" t="s">
        <v>65</v>
      </c>
      <c r="C41" s="182">
        <f>Чорн!C38</f>
        <v>1345.5</v>
      </c>
      <c r="D41" s="182">
        <f>SUM(E41:K41)</f>
        <v>95.53000000000003</v>
      </c>
      <c r="E41" s="688">
        <f>SUM(Чорн!S8:S22)-E43</f>
        <v>0</v>
      </c>
      <c r="F41" s="689"/>
      <c r="G41" s="688">
        <f>SUM(Чорн!T8:U22)-G43</f>
        <v>82.07000000000002</v>
      </c>
      <c r="H41" s="689"/>
      <c r="I41" s="182">
        <f>SUM(Чорн!W8:W22)-I43</f>
        <v>13.46</v>
      </c>
      <c r="J41" s="182">
        <v>0</v>
      </c>
      <c r="K41" s="182">
        <f>ЗаявкаА!M41</f>
        <v>0</v>
      </c>
      <c r="L41" s="182">
        <v>0</v>
      </c>
      <c r="M41" s="182">
        <f>C41-D41</f>
        <v>1249.97</v>
      </c>
    </row>
    <row r="42" spans="1:13" ht="15">
      <c r="A42" s="93">
        <v>2</v>
      </c>
      <c r="B42" s="94" t="s">
        <v>66</v>
      </c>
      <c r="C42" s="183">
        <v>0</v>
      </c>
      <c r="D42" s="182">
        <f>SUM(E42:K42)</f>
        <v>0</v>
      </c>
      <c r="E42" s="682">
        <v>0</v>
      </c>
      <c r="F42" s="683"/>
      <c r="G42" s="682">
        <v>0</v>
      </c>
      <c r="H42" s="683"/>
      <c r="I42" s="182">
        <v>0</v>
      </c>
      <c r="J42" s="183">
        <v>0</v>
      </c>
      <c r="K42" s="183">
        <v>0</v>
      </c>
      <c r="L42" s="183">
        <v>0</v>
      </c>
      <c r="M42" s="182">
        <v>0</v>
      </c>
    </row>
    <row r="43" spans="1:13" ht="38.25">
      <c r="A43" s="93">
        <v>3</v>
      </c>
      <c r="B43" s="94" t="s">
        <v>152</v>
      </c>
      <c r="C43" s="183">
        <f>Чорн!F38</f>
        <v>2486</v>
      </c>
      <c r="D43" s="182">
        <f>SUM(E43:K43)</f>
        <v>526.66</v>
      </c>
      <c r="E43" s="805">
        <f>Чорн!K34</f>
        <v>350.15</v>
      </c>
      <c r="F43" s="806"/>
      <c r="G43" s="805">
        <f>Чорн!L34</f>
        <v>151.65</v>
      </c>
      <c r="H43" s="806"/>
      <c r="I43" s="348">
        <f>Чорн!M34</f>
        <v>24.86</v>
      </c>
      <c r="J43" s="182">
        <v>0</v>
      </c>
      <c r="K43" s="182">
        <f>ЗаявкаА!M43</f>
        <v>0</v>
      </c>
      <c r="L43" s="182">
        <v>0</v>
      </c>
      <c r="M43" s="182">
        <f>Чорн!O34</f>
        <v>1959.3400000000001</v>
      </c>
    </row>
    <row r="44" spans="1:13" ht="38.25">
      <c r="A44" s="93">
        <v>4</v>
      </c>
      <c r="B44" s="94" t="s">
        <v>67</v>
      </c>
      <c r="C44" s="182">
        <v>0</v>
      </c>
      <c r="D44" s="182">
        <f>SUM(E44:K44)</f>
        <v>0</v>
      </c>
      <c r="E44" s="688">
        <v>0</v>
      </c>
      <c r="F44" s="689"/>
      <c r="G44" s="688">
        <v>0</v>
      </c>
      <c r="H44" s="689"/>
      <c r="I44" s="182">
        <v>0</v>
      </c>
      <c r="J44" s="182">
        <v>0</v>
      </c>
      <c r="K44" s="182">
        <v>0</v>
      </c>
      <c r="L44" s="182">
        <v>0</v>
      </c>
      <c r="M44" s="182">
        <v>0</v>
      </c>
    </row>
    <row r="45" spans="1:13" ht="15">
      <c r="A45" s="93">
        <v>5</v>
      </c>
      <c r="B45" s="94" t="s">
        <v>62</v>
      </c>
      <c r="C45" s="183">
        <f>SUM(C41:C44)</f>
        <v>3831.5</v>
      </c>
      <c r="D45" s="183">
        <f>SUM(D41:D44)</f>
        <v>622.19</v>
      </c>
      <c r="E45" s="684">
        <f>SUM(E41:E44)</f>
        <v>350.15</v>
      </c>
      <c r="F45" s="685"/>
      <c r="G45" s="684">
        <f>SUM(G41:G44)</f>
        <v>233.72000000000003</v>
      </c>
      <c r="H45" s="685"/>
      <c r="I45" s="183">
        <f>SUM(I41:I44)</f>
        <v>38.32</v>
      </c>
      <c r="J45" s="183">
        <f>SUM(J41:J44)</f>
        <v>0</v>
      </c>
      <c r="K45" s="183">
        <f>SUM(K41:K44)</f>
        <v>0</v>
      </c>
      <c r="L45" s="183">
        <f>SUM(L41:L44)</f>
        <v>0</v>
      </c>
      <c r="M45" s="183">
        <f>SUM(M41:M44)</f>
        <v>3209.3100000000004</v>
      </c>
    </row>
    <row r="46" spans="1:13" ht="15">
      <c r="A46" s="96"/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1:13" ht="12.75">
      <c r="A47" s="766" t="s">
        <v>245</v>
      </c>
      <c r="B47" s="766"/>
      <c r="C47" s="766"/>
      <c r="D47" s="766"/>
      <c r="E47" s="766"/>
      <c r="F47" s="766"/>
      <c r="G47" s="766"/>
      <c r="H47" s="766"/>
      <c r="I47" s="766"/>
      <c r="J47" s="766"/>
      <c r="K47" s="766"/>
      <c r="L47" s="766"/>
      <c r="M47" s="766"/>
    </row>
    <row r="48" spans="1:13" ht="12.75">
      <c r="A48" s="119">
        <v>1</v>
      </c>
      <c r="B48" s="119">
        <v>2</v>
      </c>
      <c r="C48" s="119">
        <v>3</v>
      </c>
      <c r="D48" s="120">
        <v>4</v>
      </c>
      <c r="E48" s="690">
        <v>5</v>
      </c>
      <c r="F48" s="691"/>
      <c r="G48" s="690">
        <v>6</v>
      </c>
      <c r="H48" s="691"/>
      <c r="I48" s="120">
        <v>7</v>
      </c>
      <c r="J48" s="120">
        <v>8</v>
      </c>
      <c r="K48" s="120">
        <v>9</v>
      </c>
      <c r="L48" s="120">
        <v>10</v>
      </c>
      <c r="M48" s="120">
        <v>11</v>
      </c>
    </row>
    <row r="49" spans="1:13" ht="12.75">
      <c r="A49" s="767"/>
      <c r="B49" s="94" t="s">
        <v>68</v>
      </c>
      <c r="C49" s="184">
        <v>0</v>
      </c>
      <c r="D49" s="184">
        <v>0</v>
      </c>
      <c r="E49" s="682">
        <v>0</v>
      </c>
      <c r="F49" s="683"/>
      <c r="G49" s="682">
        <v>0</v>
      </c>
      <c r="H49" s="683"/>
      <c r="I49" s="184">
        <v>0</v>
      </c>
      <c r="J49" s="184">
        <v>0</v>
      </c>
      <c r="K49" s="184">
        <v>0</v>
      </c>
      <c r="L49" s="184">
        <v>0</v>
      </c>
      <c r="M49" s="184">
        <v>0</v>
      </c>
    </row>
    <row r="50" spans="1:13" ht="12.75">
      <c r="A50" s="767"/>
      <c r="B50" s="94" t="s">
        <v>69</v>
      </c>
      <c r="C50" s="184">
        <v>0</v>
      </c>
      <c r="D50" s="183" t="s">
        <v>110</v>
      </c>
      <c r="E50" s="684" t="s">
        <v>110</v>
      </c>
      <c r="F50" s="685"/>
      <c r="G50" s="684" t="s">
        <v>110</v>
      </c>
      <c r="H50" s="685"/>
      <c r="I50" s="183" t="s">
        <v>110</v>
      </c>
      <c r="J50" s="183" t="s">
        <v>110</v>
      </c>
      <c r="K50" s="184">
        <v>0</v>
      </c>
      <c r="L50" s="184">
        <v>0</v>
      </c>
      <c r="M50" s="184">
        <v>0</v>
      </c>
    </row>
    <row r="51" spans="1:13" ht="12.75">
      <c r="A51" s="767"/>
      <c r="B51" s="94" t="s">
        <v>70</v>
      </c>
      <c r="C51" s="184">
        <v>0</v>
      </c>
      <c r="D51" s="183" t="s">
        <v>110</v>
      </c>
      <c r="E51" s="684" t="s">
        <v>110</v>
      </c>
      <c r="F51" s="685"/>
      <c r="G51" s="684" t="s">
        <v>110</v>
      </c>
      <c r="H51" s="685"/>
      <c r="I51" s="183" t="s">
        <v>110</v>
      </c>
      <c r="J51" s="183" t="s">
        <v>110</v>
      </c>
      <c r="K51" s="184">
        <v>0</v>
      </c>
      <c r="L51" s="184">
        <v>0</v>
      </c>
      <c r="M51" s="184">
        <v>0</v>
      </c>
    </row>
    <row r="52" spans="1:13" ht="24.75" customHeight="1">
      <c r="A52" s="767"/>
      <c r="B52" s="117" t="s">
        <v>154</v>
      </c>
      <c r="C52" s="184">
        <v>0</v>
      </c>
      <c r="D52" s="183" t="s">
        <v>110</v>
      </c>
      <c r="E52" s="684" t="s">
        <v>110</v>
      </c>
      <c r="F52" s="685"/>
      <c r="G52" s="684" t="s">
        <v>110</v>
      </c>
      <c r="H52" s="685"/>
      <c r="I52" s="183" t="s">
        <v>110</v>
      </c>
      <c r="J52" s="183" t="s">
        <v>110</v>
      </c>
      <c r="K52" s="184">
        <v>0</v>
      </c>
      <c r="L52" s="184">
        <v>0</v>
      </c>
      <c r="M52" s="184">
        <v>0</v>
      </c>
    </row>
    <row r="53" spans="1:13" ht="36.75" customHeight="1">
      <c r="A53" s="99">
        <v>6</v>
      </c>
      <c r="B53" s="94" t="s">
        <v>320</v>
      </c>
      <c r="C53" s="183" t="s">
        <v>110</v>
      </c>
      <c r="D53" s="183">
        <f>SUM(E53:K53)</f>
        <v>280</v>
      </c>
      <c r="E53" s="682">
        <f>ЗаявкаА!E54</f>
        <v>170</v>
      </c>
      <c r="F53" s="683"/>
      <c r="G53" s="682">
        <f>ЗаявкаА!G54</f>
        <v>110</v>
      </c>
      <c r="H53" s="683"/>
      <c r="I53" s="184">
        <f>ЗаявкаА!I54</f>
        <v>0</v>
      </c>
      <c r="J53" s="184">
        <f>ЗаявкаА!J54</f>
        <v>0</v>
      </c>
      <c r="K53" s="184">
        <f>ЗаявкаА!M54</f>
        <v>0</v>
      </c>
      <c r="L53" s="183" t="s">
        <v>110</v>
      </c>
      <c r="M53" s="183" t="s">
        <v>110</v>
      </c>
    </row>
    <row r="54" spans="1:13" ht="25.5">
      <c r="A54" s="99">
        <v>7</v>
      </c>
      <c r="B54" s="94" t="s">
        <v>71</v>
      </c>
      <c r="C54" s="183" t="s">
        <v>110</v>
      </c>
      <c r="D54" s="183">
        <f>SUM(E54:J54)</f>
        <v>342.19</v>
      </c>
      <c r="E54" s="684">
        <f>E45-E53</f>
        <v>180.14999999999998</v>
      </c>
      <c r="F54" s="685"/>
      <c r="G54" s="684">
        <f>G45-G53</f>
        <v>123.72000000000003</v>
      </c>
      <c r="H54" s="685"/>
      <c r="I54" s="183">
        <f>I45-I53</f>
        <v>38.32</v>
      </c>
      <c r="J54" s="183">
        <f>ROUND(IF(O1=0,J45,J45*O1-J53),2)</f>
        <v>0</v>
      </c>
      <c r="K54" s="183" t="s">
        <v>110</v>
      </c>
      <c r="L54" s="183">
        <f>ROUND(IF(N1=0,L45,L45*N1),2)</f>
        <v>0</v>
      </c>
      <c r="M54" s="183">
        <f>M45</f>
        <v>3209.3100000000004</v>
      </c>
    </row>
    <row r="55" spans="1:13" ht="15" customHeight="1">
      <c r="A55" s="718" t="s">
        <v>109</v>
      </c>
      <c r="B55" s="718"/>
      <c r="C55" s="718"/>
      <c r="D55" s="718"/>
      <c r="E55" s="718"/>
      <c r="F55" s="718"/>
      <c r="G55" s="718"/>
      <c r="H55" s="718"/>
      <c r="I55" s="718"/>
      <c r="J55" s="718"/>
      <c r="K55" s="718"/>
      <c r="L55" s="718"/>
      <c r="M55" s="718"/>
    </row>
    <row r="56" spans="1:13" ht="37.5" customHeight="1">
      <c r="A56" s="100">
        <v>1</v>
      </c>
      <c r="B56" s="94" t="s">
        <v>320</v>
      </c>
      <c r="C56" s="183" t="s">
        <v>110</v>
      </c>
      <c r="D56" s="184">
        <v>0</v>
      </c>
      <c r="E56" s="682">
        <v>0</v>
      </c>
      <c r="F56" s="683"/>
      <c r="G56" s="682">
        <v>0</v>
      </c>
      <c r="H56" s="683"/>
      <c r="I56" s="184">
        <v>0</v>
      </c>
      <c r="J56" s="184">
        <v>0</v>
      </c>
      <c r="K56" s="184">
        <v>0</v>
      </c>
      <c r="L56" s="183" t="s">
        <v>110</v>
      </c>
      <c r="M56" s="183" t="s">
        <v>110</v>
      </c>
    </row>
    <row r="57" spans="1:13" ht="26.25" customHeight="1">
      <c r="A57" s="100">
        <v>2</v>
      </c>
      <c r="B57" s="94" t="s">
        <v>71</v>
      </c>
      <c r="C57" s="183" t="s">
        <v>110</v>
      </c>
      <c r="D57" s="184">
        <v>0</v>
      </c>
      <c r="E57" s="682">
        <v>0</v>
      </c>
      <c r="F57" s="683"/>
      <c r="G57" s="682">
        <v>0</v>
      </c>
      <c r="H57" s="683"/>
      <c r="I57" s="184">
        <v>0</v>
      </c>
      <c r="J57" s="184">
        <v>0</v>
      </c>
      <c r="K57" s="183" t="s">
        <v>110</v>
      </c>
      <c r="L57" s="184">
        <v>0</v>
      </c>
      <c r="M57" s="184">
        <v>0</v>
      </c>
    </row>
    <row r="58" spans="1:13" ht="15.75">
      <c r="A58" s="713" t="s">
        <v>159</v>
      </c>
      <c r="B58" s="714"/>
      <c r="C58" s="714"/>
      <c r="D58" s="714"/>
      <c r="E58" s="714"/>
      <c r="F58" s="714"/>
      <c r="G58" s="714"/>
      <c r="H58" s="714"/>
      <c r="I58" s="714"/>
      <c r="J58" s="714"/>
      <c r="K58" s="714"/>
      <c r="L58" s="714"/>
      <c r="M58" s="714"/>
    </row>
    <row r="59" spans="1:13" ht="36.75" customHeight="1">
      <c r="A59" s="705" t="s">
        <v>57</v>
      </c>
      <c r="B59" s="715" t="s">
        <v>61</v>
      </c>
      <c r="C59" s="715"/>
      <c r="D59" s="694" t="s">
        <v>160</v>
      </c>
      <c r="E59" s="694"/>
      <c r="F59" s="694"/>
      <c r="G59" s="694" t="s">
        <v>156</v>
      </c>
      <c r="H59" s="694"/>
      <c r="I59" s="694"/>
      <c r="J59" s="694"/>
      <c r="K59" s="694" t="s">
        <v>157</v>
      </c>
      <c r="L59" s="694"/>
      <c r="M59" s="694"/>
    </row>
    <row r="60" spans="1:13" ht="36.75" customHeight="1">
      <c r="A60" s="705"/>
      <c r="B60" s="715"/>
      <c r="C60" s="715"/>
      <c r="D60" s="694"/>
      <c r="E60" s="694"/>
      <c r="F60" s="694"/>
      <c r="G60" s="694"/>
      <c r="H60" s="694"/>
      <c r="I60" s="694"/>
      <c r="J60" s="694"/>
      <c r="K60" s="694"/>
      <c r="L60" s="694"/>
      <c r="M60" s="694"/>
    </row>
    <row r="61" spans="1:13" ht="27.75" customHeight="1">
      <c r="A61" s="93">
        <v>1</v>
      </c>
      <c r="B61" s="701" t="s">
        <v>158</v>
      </c>
      <c r="C61" s="701"/>
      <c r="D61" s="695">
        <f>C45</f>
        <v>3831.5</v>
      </c>
      <c r="E61" s="695"/>
      <c r="F61" s="695"/>
      <c r="G61" s="695">
        <f>Чорн!M39</f>
        <v>697.49</v>
      </c>
      <c r="H61" s="695"/>
      <c r="I61" s="695"/>
      <c r="J61" s="695"/>
      <c r="K61" s="702">
        <v>0</v>
      </c>
      <c r="L61" s="703"/>
      <c r="M61" s="704"/>
    </row>
    <row r="62" spans="1:13" ht="24" customHeight="1">
      <c r="A62" s="101">
        <v>2</v>
      </c>
      <c r="B62" s="701" t="s">
        <v>72</v>
      </c>
      <c r="C62" s="701"/>
      <c r="D62" s="702">
        <f>ЗаявкаА!D63:F63</f>
        <v>280</v>
      </c>
      <c r="E62" s="703"/>
      <c r="F62" s="704"/>
      <c r="G62" s="702">
        <f>ЗаявкаА!G63</f>
        <v>340</v>
      </c>
      <c r="H62" s="703"/>
      <c r="I62" s="703"/>
      <c r="J62" s="704"/>
      <c r="K62" s="702">
        <v>0</v>
      </c>
      <c r="L62" s="703"/>
      <c r="M62" s="704"/>
    </row>
    <row r="63" spans="1:13" ht="17.25" customHeight="1">
      <c r="A63" s="101">
        <v>4</v>
      </c>
      <c r="B63" s="701" t="s">
        <v>73</v>
      </c>
      <c r="C63" s="701"/>
      <c r="D63" s="695">
        <f>D61-D62</f>
        <v>3551.5</v>
      </c>
      <c r="E63" s="695"/>
      <c r="F63" s="695"/>
      <c r="G63" s="695">
        <f>G61-G62</f>
        <v>357.49</v>
      </c>
      <c r="H63" s="695"/>
      <c r="I63" s="695"/>
      <c r="J63" s="695"/>
      <c r="K63" s="702">
        <v>0</v>
      </c>
      <c r="L63" s="703"/>
      <c r="M63" s="704"/>
    </row>
    <row r="64" spans="1:13" ht="12.75" customHeight="1">
      <c r="A64" s="706" t="s">
        <v>237</v>
      </c>
      <c r="B64" s="706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</row>
    <row r="65" spans="1:13" ht="12.75" customHeight="1">
      <c r="A65" s="696" t="s">
        <v>236</v>
      </c>
      <c r="B65" s="696"/>
      <c r="C65" s="696"/>
      <c r="D65" s="696"/>
      <c r="E65" s="696"/>
      <c r="F65" s="696"/>
      <c r="G65" s="696"/>
      <c r="H65" s="696"/>
      <c r="I65" s="696"/>
      <c r="J65" s="696"/>
      <c r="K65" s="756" t="str">
        <f>H82</f>
        <v>сідоров</v>
      </c>
      <c r="L65" s="756"/>
      <c r="M65" s="756"/>
    </row>
    <row r="66" spans="1:13" ht="7.5" customHeight="1">
      <c r="A66" s="710" t="s">
        <v>74</v>
      </c>
      <c r="B66" s="710"/>
      <c r="C66" s="710"/>
      <c r="D66" s="710"/>
      <c r="E66" s="710"/>
      <c r="F66" s="710"/>
      <c r="G66" s="710"/>
      <c r="H66" s="710"/>
      <c r="I66" s="710"/>
      <c r="J66" s="710"/>
      <c r="K66" s="710"/>
      <c r="L66" s="710"/>
      <c r="M66" s="710"/>
    </row>
    <row r="67" spans="1:13" ht="12.75" customHeight="1">
      <c r="A67" s="761" t="s">
        <v>225</v>
      </c>
      <c r="B67" s="761"/>
      <c r="C67" s="761"/>
      <c r="D67" s="761"/>
      <c r="E67" s="761"/>
      <c r="F67" s="761"/>
      <c r="G67" s="761"/>
      <c r="H67" s="761"/>
      <c r="I67" s="761"/>
      <c r="J67" s="761"/>
      <c r="K67" s="761"/>
      <c r="L67" s="761"/>
      <c r="M67" s="761"/>
    </row>
    <row r="68" spans="1:13" ht="7.5" customHeight="1">
      <c r="A68" s="758" t="s">
        <v>164</v>
      </c>
      <c r="B68" s="758"/>
      <c r="C68" s="758"/>
      <c r="D68" s="758"/>
      <c r="E68" s="758"/>
      <c r="F68" s="758"/>
      <c r="G68" s="758"/>
      <c r="H68" s="758"/>
      <c r="I68" s="758"/>
      <c r="J68" s="758"/>
      <c r="K68" s="758"/>
      <c r="L68" s="758"/>
      <c r="M68" s="758"/>
    </row>
    <row r="69" spans="1:13" ht="12.75" customHeight="1">
      <c r="A69" s="759" t="s">
        <v>242</v>
      </c>
      <c r="B69" s="759"/>
      <c r="C69" s="759"/>
      <c r="D69" s="759"/>
      <c r="E69" s="759"/>
      <c r="F69" s="759"/>
      <c r="G69" s="759"/>
      <c r="H69" s="759"/>
      <c r="I69" s="759"/>
      <c r="J69" s="759"/>
      <c r="K69" s="759"/>
      <c r="L69" s="759"/>
      <c r="M69" s="759"/>
    </row>
    <row r="70" spans="1:13" ht="26.25" customHeight="1">
      <c r="A70" s="759" t="s">
        <v>243</v>
      </c>
      <c r="B70" s="759"/>
      <c r="C70" s="759"/>
      <c r="D70" s="759"/>
      <c r="E70" s="759"/>
      <c r="F70" s="759"/>
      <c r="G70" s="759"/>
      <c r="H70" s="759"/>
      <c r="I70" s="759"/>
      <c r="J70" s="759"/>
      <c r="K70" s="759"/>
      <c r="L70" s="759"/>
      <c r="M70" s="759"/>
    </row>
    <row r="71" spans="1:13" s="116" customFormat="1" ht="7.5" customHeight="1" thickBot="1">
      <c r="A71" s="760" t="s">
        <v>163</v>
      </c>
      <c r="B71" s="760"/>
      <c r="C71" s="760"/>
      <c r="D71" s="760"/>
      <c r="E71" s="760"/>
      <c r="F71" s="760"/>
      <c r="G71" s="760"/>
      <c r="H71" s="760"/>
      <c r="I71" s="760"/>
      <c r="J71" s="760"/>
      <c r="K71" s="760"/>
      <c r="L71" s="760"/>
      <c r="M71" s="760"/>
    </row>
    <row r="72" spans="1:13" ht="12.75">
      <c r="A72" s="757" t="s">
        <v>322</v>
      </c>
      <c r="B72" s="757"/>
      <c r="C72" s="757"/>
      <c r="D72" s="757"/>
      <c r="E72" s="757"/>
      <c r="F72" s="757"/>
      <c r="G72" s="757"/>
      <c r="H72" s="757"/>
      <c r="I72" s="757"/>
      <c r="J72" s="757"/>
      <c r="K72" s="757"/>
      <c r="L72" s="757"/>
      <c r="M72" s="757"/>
    </row>
    <row r="73" spans="1:13" ht="38.25" customHeight="1">
      <c r="A73" s="54" t="s">
        <v>57</v>
      </c>
      <c r="B73" s="694" t="s">
        <v>75</v>
      </c>
      <c r="C73" s="694"/>
      <c r="D73" s="694"/>
      <c r="E73" s="694" t="s">
        <v>76</v>
      </c>
      <c r="F73" s="694"/>
      <c r="G73" s="694"/>
      <c r="H73" s="694" t="s">
        <v>77</v>
      </c>
      <c r="I73" s="694"/>
      <c r="J73" s="694"/>
      <c r="K73" s="694" t="s">
        <v>78</v>
      </c>
      <c r="L73" s="694"/>
      <c r="M73" s="694"/>
    </row>
    <row r="74" spans="1:13" ht="15" customHeight="1">
      <c r="A74" s="175"/>
      <c r="B74" s="700"/>
      <c r="C74" s="700"/>
      <c r="D74" s="700"/>
      <c r="E74" s="692">
        <v>0</v>
      </c>
      <c r="F74" s="693"/>
      <c r="G74" s="693"/>
      <c r="H74" s="692">
        <v>0</v>
      </c>
      <c r="I74" s="693"/>
      <c r="J74" s="693"/>
      <c r="K74" s="692">
        <v>0</v>
      </c>
      <c r="L74" s="693"/>
      <c r="M74" s="693"/>
    </row>
    <row r="75" spans="1:13" ht="15" customHeight="1">
      <c r="A75" s="175"/>
      <c r="B75" s="700"/>
      <c r="C75" s="700"/>
      <c r="D75" s="700"/>
      <c r="E75" s="692">
        <v>0</v>
      </c>
      <c r="F75" s="693"/>
      <c r="G75" s="693"/>
      <c r="H75" s="692">
        <v>0</v>
      </c>
      <c r="I75" s="693"/>
      <c r="J75" s="693"/>
      <c r="K75" s="692">
        <v>0</v>
      </c>
      <c r="L75" s="693"/>
      <c r="M75" s="693"/>
    </row>
    <row r="76" spans="1:13" ht="15" customHeight="1">
      <c r="A76" s="175"/>
      <c r="B76" s="700"/>
      <c r="C76" s="700"/>
      <c r="D76" s="700"/>
      <c r="E76" s="692">
        <v>0</v>
      </c>
      <c r="F76" s="693"/>
      <c r="G76" s="693"/>
      <c r="H76" s="692">
        <v>0</v>
      </c>
      <c r="I76" s="693"/>
      <c r="J76" s="693"/>
      <c r="K76" s="692">
        <v>0</v>
      </c>
      <c r="L76" s="693"/>
      <c r="M76" s="693"/>
    </row>
    <row r="77" spans="1:13" ht="15" customHeight="1">
      <c r="A77" s="175"/>
      <c r="B77" s="700"/>
      <c r="C77" s="700"/>
      <c r="D77" s="700"/>
      <c r="E77" s="692">
        <v>0</v>
      </c>
      <c r="F77" s="693"/>
      <c r="G77" s="693"/>
      <c r="H77" s="692">
        <v>0</v>
      </c>
      <c r="I77" s="693"/>
      <c r="J77" s="693"/>
      <c r="K77" s="692">
        <v>0</v>
      </c>
      <c r="L77" s="693"/>
      <c r="M77" s="693"/>
    </row>
    <row r="78" spans="1:13" ht="15" customHeight="1">
      <c r="A78" s="697" t="s">
        <v>79</v>
      </c>
      <c r="B78" s="697"/>
      <c r="C78" s="697"/>
      <c r="D78" s="697"/>
      <c r="E78" s="698">
        <f>SUM(E74:G77)</f>
        <v>0</v>
      </c>
      <c r="F78" s="699"/>
      <c r="G78" s="699"/>
      <c r="H78" s="698">
        <f>SUM(H74:J77)</f>
        <v>0</v>
      </c>
      <c r="I78" s="699"/>
      <c r="J78" s="699"/>
      <c r="K78" s="698">
        <f>SUM(K74:M77)</f>
        <v>0</v>
      </c>
      <c r="L78" s="699"/>
      <c r="M78" s="699"/>
    </row>
    <row r="79" spans="1:13" s="122" customFormat="1" ht="12" customHeight="1">
      <c r="A79" s="755" t="s">
        <v>161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</row>
    <row r="80" spans="1:13" s="122" customFormat="1" ht="12" customHeight="1">
      <c r="A80" s="763" t="s">
        <v>162</v>
      </c>
      <c r="B80" s="763"/>
      <c r="C80" s="763"/>
      <c r="D80" s="763"/>
      <c r="E80" s="763"/>
      <c r="F80" s="763"/>
      <c r="G80" s="763"/>
      <c r="H80" s="763"/>
      <c r="I80" s="763"/>
      <c r="J80" s="763"/>
      <c r="K80" s="763"/>
      <c r="L80" s="763"/>
      <c r="M80" s="763"/>
    </row>
    <row r="81" spans="1:13" ht="18" customHeight="1">
      <c r="A81" s="65"/>
      <c r="B81" s="762" t="s">
        <v>234</v>
      </c>
      <c r="C81" s="762"/>
      <c r="D81" s="23"/>
      <c r="E81" s="23"/>
      <c r="F81" s="23"/>
      <c r="G81" s="23"/>
      <c r="H81" s="23" t="str">
        <f>Дані!D11</f>
        <v>Іваанов</v>
      </c>
      <c r="I81" s="23"/>
      <c r="J81" s="23"/>
      <c r="K81" s="23"/>
      <c r="L81" s="23"/>
      <c r="M81" s="23"/>
    </row>
    <row r="82" spans="1:13" ht="15.75">
      <c r="A82" s="56"/>
      <c r="B82" s="762" t="s">
        <v>235</v>
      </c>
      <c r="C82" s="762"/>
      <c r="D82" s="23"/>
      <c r="E82" s="23"/>
      <c r="F82" s="23"/>
      <c r="G82" s="23"/>
      <c r="H82" s="23" t="str">
        <f>Дані!D12</f>
        <v>сідоров</v>
      </c>
      <c r="I82" s="23"/>
      <c r="J82" s="23"/>
      <c r="K82" s="23"/>
      <c r="L82" s="23"/>
      <c r="M82" s="23"/>
    </row>
    <row r="83" spans="1:13" ht="12.75">
      <c r="A83" s="23"/>
      <c r="B83" s="66" t="s">
        <v>80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5.75">
      <c r="A84" s="23"/>
      <c r="B84" s="56" t="s">
        <v>81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</sheetData>
  <sheetProtection sheet="1" objects="1" scenarios="1" formatCells="0" selectLockedCells="1"/>
  <mergeCells count="140">
    <mergeCell ref="N1:N2"/>
    <mergeCell ref="E56:F56"/>
    <mergeCell ref="G56:H56"/>
    <mergeCell ref="E57:F57"/>
    <mergeCell ref="G57:H57"/>
    <mergeCell ref="E54:F54"/>
    <mergeCell ref="G49:H49"/>
    <mergeCell ref="G50:H50"/>
    <mergeCell ref="G51:H51"/>
    <mergeCell ref="G52:H52"/>
    <mergeCell ref="E42:F42"/>
    <mergeCell ref="E43:F43"/>
    <mergeCell ref="E44:F44"/>
    <mergeCell ref="E40:F40"/>
    <mergeCell ref="E41:F41"/>
    <mergeCell ref="K76:M76"/>
    <mergeCell ref="G44:H44"/>
    <mergeCell ref="G42:H42"/>
    <mergeCell ref="H75:J75"/>
    <mergeCell ref="K75:M75"/>
    <mergeCell ref="K59:M60"/>
    <mergeCell ref="G61:J61"/>
    <mergeCell ref="G43:H43"/>
    <mergeCell ref="A65:J65"/>
    <mergeCell ref="E48:F48"/>
    <mergeCell ref="K77:M77"/>
    <mergeCell ref="A78:D78"/>
    <mergeCell ref="E78:G78"/>
    <mergeCell ref="H78:J78"/>
    <mergeCell ref="K78:M78"/>
    <mergeCell ref="B77:D77"/>
    <mergeCell ref="E77:G77"/>
    <mergeCell ref="H77:J77"/>
    <mergeCell ref="H76:J76"/>
    <mergeCell ref="B61:C61"/>
    <mergeCell ref="G62:J62"/>
    <mergeCell ref="A59:A60"/>
    <mergeCell ref="A64:M64"/>
    <mergeCell ref="D62:F62"/>
    <mergeCell ref="B62:C62"/>
    <mergeCell ref="D63:F63"/>
    <mergeCell ref="B63:C63"/>
    <mergeCell ref="G63:J63"/>
    <mergeCell ref="K63:M63"/>
    <mergeCell ref="K61:M61"/>
    <mergeCell ref="K62:M62"/>
    <mergeCell ref="D59:F60"/>
    <mergeCell ref="D61:F61"/>
    <mergeCell ref="G59:J60"/>
    <mergeCell ref="G54:H54"/>
    <mergeCell ref="E51:F51"/>
    <mergeCell ref="E52:F52"/>
    <mergeCell ref="E53:F53"/>
    <mergeCell ref="E50:F50"/>
    <mergeCell ref="G48:H48"/>
    <mergeCell ref="G53:H53"/>
    <mergeCell ref="E49:F49"/>
    <mergeCell ref="G45:H45"/>
    <mergeCell ref="G41:H41"/>
    <mergeCell ref="A18:M18"/>
    <mergeCell ref="A20:C20"/>
    <mergeCell ref="D20:M20"/>
    <mergeCell ref="H21:I21"/>
    <mergeCell ref="A19:M19"/>
    <mergeCell ref="A23:M23"/>
    <mergeCell ref="A22:B22"/>
    <mergeCell ref="G40:H40"/>
    <mergeCell ref="A58:M58"/>
    <mergeCell ref="B59:C60"/>
    <mergeCell ref="B36:B39"/>
    <mergeCell ref="C36:C39"/>
    <mergeCell ref="D36:D39"/>
    <mergeCell ref="A55:M55"/>
    <mergeCell ref="J36:J39"/>
    <mergeCell ref="E36:F39"/>
    <mergeCell ref="G36:H39"/>
    <mergeCell ref="E45:F45"/>
    <mergeCell ref="A24:B24"/>
    <mergeCell ref="A7:M7"/>
    <mergeCell ref="A8:M8"/>
    <mergeCell ref="A13:M13"/>
    <mergeCell ref="A14:M14"/>
    <mergeCell ref="F12:G12"/>
    <mergeCell ref="C22:M22"/>
    <mergeCell ref="A16:M16"/>
    <mergeCell ref="C24:M24"/>
    <mergeCell ref="A15:H15"/>
    <mergeCell ref="F1:M3"/>
    <mergeCell ref="A4:C4"/>
    <mergeCell ref="D4:K4"/>
    <mergeCell ref="A5:C5"/>
    <mergeCell ref="A6:K6"/>
    <mergeCell ref="A9:M9"/>
    <mergeCell ref="A10:M10"/>
    <mergeCell ref="A11:M11"/>
    <mergeCell ref="A26:M26"/>
    <mergeCell ref="A27:M27"/>
    <mergeCell ref="H25:I25"/>
    <mergeCell ref="M34:M39"/>
    <mergeCell ref="I36:I39"/>
    <mergeCell ref="A29:M29"/>
    <mergeCell ref="A28:M28"/>
    <mergeCell ref="A30:M30"/>
    <mergeCell ref="A32:F32"/>
    <mergeCell ref="G32:H32"/>
    <mergeCell ref="A31:M31"/>
    <mergeCell ref="B34:C35"/>
    <mergeCell ref="D34:K35"/>
    <mergeCell ref="L34:L39"/>
    <mergeCell ref="K36:K39"/>
    <mergeCell ref="A79:M79"/>
    <mergeCell ref="K65:M65"/>
    <mergeCell ref="A72:M72"/>
    <mergeCell ref="A66:M66"/>
    <mergeCell ref="A68:M68"/>
    <mergeCell ref="A69:M69"/>
    <mergeCell ref="A70:M70"/>
    <mergeCell ref="A71:M71"/>
    <mergeCell ref="A67:M67"/>
    <mergeCell ref="B74:D74"/>
    <mergeCell ref="E74:G74"/>
    <mergeCell ref="H74:J74"/>
    <mergeCell ref="K74:M74"/>
    <mergeCell ref="B82:C82"/>
    <mergeCell ref="B81:C81"/>
    <mergeCell ref="B75:D75"/>
    <mergeCell ref="E75:G75"/>
    <mergeCell ref="B76:D76"/>
    <mergeCell ref="E76:G76"/>
    <mergeCell ref="A80:M80"/>
    <mergeCell ref="I15:J15"/>
    <mergeCell ref="H73:J73"/>
    <mergeCell ref="K73:M73"/>
    <mergeCell ref="B73:D73"/>
    <mergeCell ref="E73:G73"/>
    <mergeCell ref="A33:M33"/>
    <mergeCell ref="A47:M47"/>
    <mergeCell ref="A49:A52"/>
    <mergeCell ref="A34:A39"/>
    <mergeCell ref="I32:M32"/>
  </mergeCells>
  <printOptions/>
  <pageMargins left="0.7874015748031497" right="0.1968503937007874" top="0.5905511811023623" bottom="0.5905511811023623" header="0" footer="0"/>
  <pageSetup horizontalDpi="600" verticalDpi="600" orientation="portrait" paperSize="9" scale="98" r:id="rId1"/>
  <ignoredErrors>
    <ignoredError sqref="D42:D44 J45:L4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/>
  <dimension ref="A1:H32"/>
  <sheetViews>
    <sheetView zoomScalePageLayoutView="0" workbookViewId="0" topLeftCell="A7">
      <selection activeCell="F32" sqref="F32"/>
    </sheetView>
  </sheetViews>
  <sheetFormatPr defaultColWidth="9.140625" defaultRowHeight="12.75"/>
  <cols>
    <col min="1" max="4" width="14.7109375" style="0" customWidth="1"/>
    <col min="5" max="5" width="25.7109375" style="0" customWidth="1"/>
    <col min="6" max="6" width="45.7109375" style="0" customWidth="1"/>
  </cols>
  <sheetData>
    <row r="1" spans="1:8" s="71" customFormat="1" ht="15" customHeight="1">
      <c r="A1" s="774" t="str">
        <f>Дані!B1</f>
        <v>УДКСУ  у   районі</v>
      </c>
      <c r="B1" s="774"/>
      <c r="C1" s="774"/>
      <c r="D1" s="72"/>
      <c r="F1" s="75" t="s">
        <v>94</v>
      </c>
      <c r="G1" s="74"/>
      <c r="H1" s="74"/>
    </row>
    <row r="2" spans="1:6" ht="12.75" customHeight="1">
      <c r="A2" s="773" t="s">
        <v>96</v>
      </c>
      <c r="B2" s="773"/>
      <c r="C2" s="773"/>
      <c r="D2" s="772"/>
      <c r="E2" s="775"/>
      <c r="F2" s="776" t="s">
        <v>95</v>
      </c>
    </row>
    <row r="3" spans="1:6" ht="15">
      <c r="A3" s="774" t="str">
        <f>Дані!B2</f>
        <v> сільська  рада</v>
      </c>
      <c r="B3" s="774"/>
      <c r="C3" s="774"/>
      <c r="D3" s="772"/>
      <c r="E3" s="775"/>
      <c r="F3" s="776"/>
    </row>
    <row r="4" spans="1:6" ht="14.25">
      <c r="A4" s="773" t="s">
        <v>97</v>
      </c>
      <c r="B4" s="773"/>
      <c r="C4" s="773"/>
      <c r="D4" s="68"/>
      <c r="E4" s="69"/>
      <c r="F4" s="776"/>
    </row>
    <row r="5" spans="1:6" ht="14.25">
      <c r="A5" s="69"/>
      <c r="B5" s="69"/>
      <c r="C5" s="69"/>
      <c r="D5" s="69"/>
      <c r="E5" s="69"/>
      <c r="F5" s="776"/>
    </row>
    <row r="6" spans="1:6" ht="14.25">
      <c r="A6" s="69"/>
      <c r="B6" s="68"/>
      <c r="C6" s="68"/>
      <c r="D6" s="68"/>
      <c r="E6" s="69"/>
      <c r="F6" s="776"/>
    </row>
    <row r="7" spans="1:6" ht="14.25">
      <c r="A7" s="69"/>
      <c r="B7" s="69"/>
      <c r="C7" s="69"/>
      <c r="D7" s="69"/>
      <c r="E7" s="69"/>
      <c r="F7" s="75"/>
    </row>
    <row r="8" spans="1:6" ht="14.25">
      <c r="A8" s="69"/>
      <c r="B8" s="69"/>
      <c r="C8" s="69"/>
      <c r="D8" s="69"/>
      <c r="E8" s="69"/>
      <c r="F8" s="70"/>
    </row>
    <row r="9" spans="1:6" ht="14.25">
      <c r="A9" s="772" t="s">
        <v>82</v>
      </c>
      <c r="B9" s="772"/>
      <c r="C9" s="772"/>
      <c r="D9" s="772"/>
      <c r="E9" s="772"/>
      <c r="F9" s="772"/>
    </row>
    <row r="10" spans="1:6" ht="14.25">
      <c r="A10" s="772" t="s">
        <v>83</v>
      </c>
      <c r="B10" s="772"/>
      <c r="C10" s="772"/>
      <c r="D10" s="772"/>
      <c r="E10" s="772"/>
      <c r="F10" s="772"/>
    </row>
    <row r="11" spans="1:6" ht="14.25">
      <c r="A11" s="69"/>
      <c r="B11" s="69"/>
      <c r="C11" s="69"/>
      <c r="D11" s="69"/>
      <c r="E11" s="73"/>
      <c r="F11" s="73" t="s">
        <v>56</v>
      </c>
    </row>
    <row r="12" spans="1:6" ht="28.5">
      <c r="A12" s="76" t="s">
        <v>84</v>
      </c>
      <c r="B12" s="76" t="s">
        <v>85</v>
      </c>
      <c r="C12" s="76" t="s">
        <v>86</v>
      </c>
      <c r="D12" s="76" t="s">
        <v>76</v>
      </c>
      <c r="E12" s="77" t="s">
        <v>87</v>
      </c>
      <c r="F12" s="77" t="s">
        <v>88</v>
      </c>
    </row>
    <row r="13" spans="1:6" ht="15" customHeight="1">
      <c r="A13" s="78">
        <v>1</v>
      </c>
      <c r="B13" s="80" t="s">
        <v>241</v>
      </c>
      <c r="C13" s="238" t="str">
        <f>Чорн!C3</f>
        <v>010116</v>
      </c>
      <c r="D13" s="78">
        <v>2111</v>
      </c>
      <c r="E13" s="81">
        <f>Заявка!D63</f>
        <v>3551.5</v>
      </c>
      <c r="F13" s="18"/>
    </row>
    <row r="14" spans="1:6" ht="15" customHeight="1">
      <c r="A14" s="78">
        <v>2</v>
      </c>
      <c r="B14" s="80" t="s">
        <v>241</v>
      </c>
      <c r="C14" s="80" t="str">
        <f>Чорн!C3</f>
        <v>010116</v>
      </c>
      <c r="D14" s="78">
        <v>2120</v>
      </c>
      <c r="E14" s="81">
        <f>Заявка!G63</f>
        <v>357.49</v>
      </c>
      <c r="F14" s="18"/>
    </row>
    <row r="15" spans="1:6" ht="15" customHeight="1">
      <c r="A15" s="78"/>
      <c r="B15" s="78"/>
      <c r="C15" s="78"/>
      <c r="D15" s="78"/>
      <c r="E15" s="81">
        <f>SUM(E13:E14)</f>
        <v>3908.99</v>
      </c>
      <c r="F15" s="18"/>
    </row>
    <row r="16" spans="1:6" ht="15" customHeight="1">
      <c r="A16" s="78"/>
      <c r="B16" s="78"/>
      <c r="C16" s="78"/>
      <c r="D16" s="78"/>
      <c r="E16" s="79"/>
      <c r="F16" s="18"/>
    </row>
    <row r="17" spans="1:6" ht="15" customHeight="1">
      <c r="A17" s="78"/>
      <c r="B17" s="78"/>
      <c r="C17" s="78"/>
      <c r="D17" s="78"/>
      <c r="E17" s="79"/>
      <c r="F17" s="18"/>
    </row>
    <row r="18" spans="1:6" ht="15" customHeight="1">
      <c r="A18" s="18"/>
      <c r="B18" s="18"/>
      <c r="C18" s="18"/>
      <c r="D18" s="18"/>
      <c r="E18" s="18"/>
      <c r="F18" s="18"/>
    </row>
    <row r="19" spans="1:6" ht="15" customHeight="1">
      <c r="A19" s="18"/>
      <c r="B19" s="18"/>
      <c r="C19" s="18"/>
      <c r="D19" s="18"/>
      <c r="E19" s="18"/>
      <c r="F19" s="18"/>
    </row>
    <row r="20" spans="1:6" ht="15" customHeight="1">
      <c r="A20" s="18"/>
      <c r="B20" s="18"/>
      <c r="C20" s="18"/>
      <c r="D20" s="18"/>
      <c r="E20" s="18"/>
      <c r="F20" s="18"/>
    </row>
    <row r="21" spans="1:6" ht="12.75">
      <c r="A21" s="21"/>
      <c r="B21" s="21"/>
      <c r="C21" s="21"/>
      <c r="D21" s="21"/>
      <c r="E21" s="21"/>
      <c r="F21" s="21"/>
    </row>
    <row r="22" spans="1:6" ht="12.75">
      <c r="A22" s="472" t="s">
        <v>89</v>
      </c>
      <c r="B22" s="472"/>
      <c r="C22" s="472"/>
      <c r="D22" s="472"/>
      <c r="E22" s="472"/>
      <c r="F22" s="472"/>
    </row>
    <row r="23" spans="1:6" ht="12.75">
      <c r="A23" s="472" t="s">
        <v>90</v>
      </c>
      <c r="B23" s="472"/>
      <c r="C23" s="472"/>
      <c r="D23" s="472"/>
      <c r="E23" s="472"/>
      <c r="F23" s="472"/>
    </row>
    <row r="29" spans="1:6" ht="15">
      <c r="A29" s="771" t="s">
        <v>91</v>
      </c>
      <c r="B29" s="771"/>
      <c r="C29" s="771"/>
      <c r="D29" s="69"/>
      <c r="E29" s="74"/>
      <c r="F29" s="74" t="str">
        <f>Дані!D11</f>
        <v>Іваанов</v>
      </c>
    </row>
    <row r="30" spans="1:6" ht="15">
      <c r="A30" s="69" t="s">
        <v>92</v>
      </c>
      <c r="B30" s="69"/>
      <c r="C30" s="69"/>
      <c r="D30" s="69"/>
      <c r="E30" s="69"/>
      <c r="F30" s="74"/>
    </row>
    <row r="31" spans="1:6" ht="15">
      <c r="A31" s="771" t="s">
        <v>93</v>
      </c>
      <c r="B31" s="771"/>
      <c r="C31" s="771"/>
      <c r="D31" s="69"/>
      <c r="E31" s="173"/>
      <c r="F31" s="74" t="str">
        <f>Дані!D12</f>
        <v>сідоров</v>
      </c>
    </row>
    <row r="32" spans="1:5" ht="14.25">
      <c r="A32" s="69"/>
      <c r="B32" s="69"/>
      <c r="C32" s="69"/>
      <c r="D32" s="69"/>
      <c r="E32" s="69"/>
    </row>
  </sheetData>
  <sheetProtection sheet="1" selectLockedCells="1"/>
  <mergeCells count="13">
    <mergeCell ref="A22:F22"/>
    <mergeCell ref="A23:F23"/>
    <mergeCell ref="A31:C31"/>
    <mergeCell ref="A29:C29"/>
    <mergeCell ref="A10:F10"/>
    <mergeCell ref="A2:C2"/>
    <mergeCell ref="A3:C3"/>
    <mergeCell ref="D2:D3"/>
    <mergeCell ref="E2:E3"/>
    <mergeCell ref="A1:C1"/>
    <mergeCell ref="F2:F6"/>
    <mergeCell ref="A4:C4"/>
    <mergeCell ref="A9:F9"/>
  </mergeCells>
  <printOptions horizontalCentered="1"/>
  <pageMargins left="0.5905511811023623" right="0.5905511811023623" top="0.984251968503937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8"/>
  <dimension ref="A1:H50"/>
  <sheetViews>
    <sheetView workbookViewId="0" topLeftCell="A22">
      <selection activeCell="F32" sqref="F32:F46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4" width="13.8515625" style="0" customWidth="1"/>
    <col min="5" max="5" width="16.7109375" style="0" customWidth="1"/>
    <col min="6" max="6" width="12.8515625" style="0" customWidth="1"/>
    <col min="7" max="7" width="10.28125" style="0" bestFit="1" customWidth="1"/>
  </cols>
  <sheetData>
    <row r="1" spans="1:7" ht="15.75">
      <c r="A1" s="56" t="s">
        <v>42</v>
      </c>
      <c r="B1" s="23"/>
      <c r="C1" s="23"/>
      <c r="D1" s="23"/>
      <c r="E1" s="23"/>
      <c r="F1" s="23"/>
      <c r="G1" s="788"/>
    </row>
    <row r="2" spans="1:7" ht="15.75">
      <c r="A2" s="787" t="s">
        <v>43</v>
      </c>
      <c r="B2" s="787"/>
      <c r="C2" s="787"/>
      <c r="D2" s="661"/>
      <c r="E2" s="63">
        <f>Чорн!R1</f>
        <v>3</v>
      </c>
      <c r="F2" s="241" t="str">
        <f>IF(Чорн!C3=Дані!A4,Дані!E4,Дані!E5)</f>
        <v>-А</v>
      </c>
      <c r="G2" s="789"/>
    </row>
    <row r="3" spans="1:6" ht="15.75">
      <c r="A3" s="58"/>
      <c r="B3" s="23"/>
      <c r="C3" s="23"/>
      <c r="D3" s="23"/>
      <c r="E3" s="23"/>
      <c r="F3" s="23"/>
    </row>
    <row r="4" spans="1:6" ht="15" customHeight="1">
      <c r="A4" s="791" t="s">
        <v>287</v>
      </c>
      <c r="B4" s="791"/>
      <c r="C4" s="791"/>
      <c r="D4" s="791"/>
      <c r="E4" s="216" t="str">
        <f>IF(Чорн!R1&lt;7,Дані!B21,Дані!B22)</f>
        <v>березня</v>
      </c>
      <c r="F4" s="59" t="str">
        <f>CONCATENATE(Чорн!P3,Чорн!Q3)</f>
        <v>2013року</v>
      </c>
    </row>
    <row r="5" spans="1:6" ht="15.75">
      <c r="A5" s="780" t="str">
        <f>CONCATENATE("працівникам  ",IF(Чорн!C3=Дані!A4,Дані!I4,Дані!I5))</f>
        <v>працівникам  Енецької сільської ради</v>
      </c>
      <c r="B5" s="780"/>
      <c r="C5" s="780"/>
      <c r="D5" s="780"/>
      <c r="E5" s="780"/>
      <c r="F5" s="780"/>
    </row>
    <row r="6" spans="1:6" ht="15.75">
      <c r="A6" s="60"/>
      <c r="B6" s="23"/>
      <c r="C6" s="23"/>
      <c r="D6" s="23"/>
      <c r="E6" s="23"/>
      <c r="F6" s="23"/>
    </row>
    <row r="7" spans="1:6" ht="30" customHeight="1">
      <c r="A7" s="67" t="s">
        <v>44</v>
      </c>
      <c r="B7" s="67" t="s">
        <v>313</v>
      </c>
      <c r="C7" s="784" t="s">
        <v>19</v>
      </c>
      <c r="D7" s="785"/>
      <c r="E7" s="67" t="s">
        <v>46</v>
      </c>
      <c r="F7" s="67" t="s">
        <v>47</v>
      </c>
    </row>
    <row r="8" spans="1:6" ht="18" customHeight="1">
      <c r="A8" s="64">
        <v>1</v>
      </c>
      <c r="B8" s="393">
        <f>IF(Чорн!$C$3=Дані!$A$4,Дані!X26,Дані!X41)</f>
        <v>0</v>
      </c>
      <c r="C8" s="782">
        <f>Чорн!C8</f>
        <v>0</v>
      </c>
      <c r="D8" s="783"/>
      <c r="E8" s="329">
        <f>Відом!D10</f>
        <v>0</v>
      </c>
      <c r="F8" s="313">
        <f>Чорн!Z8+F32</f>
        <v>1959.3400000000001</v>
      </c>
    </row>
    <row r="9" spans="1:6" ht="18" customHeight="1">
      <c r="A9" s="64">
        <v>2</v>
      </c>
      <c r="B9" s="393">
        <f>IF(Чорн!$C$3=Дані!$A$4,Дані!X27,Дані!X42)</f>
        <v>0</v>
      </c>
      <c r="C9" s="779">
        <f>Чорн!C9</f>
        <v>0</v>
      </c>
      <c r="D9" s="779"/>
      <c r="E9" s="329">
        <f>Відом!D11</f>
        <v>0</v>
      </c>
      <c r="F9" s="313">
        <f>Чорн!Z9+F33</f>
        <v>111.21</v>
      </c>
    </row>
    <row r="10" spans="1:6" ht="18" customHeight="1">
      <c r="A10" s="64">
        <v>3</v>
      </c>
      <c r="B10" s="393">
        <f>IF(Чорн!$C$3=Дані!$A$4,Дані!X28,Дані!X43)</f>
        <v>0</v>
      </c>
      <c r="C10" s="779">
        <f>Чорн!C10</f>
        <v>0</v>
      </c>
      <c r="D10" s="779"/>
      <c r="E10" s="329">
        <f>Відом!D12</f>
        <v>0</v>
      </c>
      <c r="F10" s="313">
        <f>Чорн!Z10+F34</f>
        <v>1138.76</v>
      </c>
    </row>
    <row r="11" spans="1:6" ht="18" customHeight="1">
      <c r="A11" s="64">
        <v>4</v>
      </c>
      <c r="B11" s="393">
        <f>IF(Чорн!$C$3=Дані!$A$4,Дані!X29,Дані!X49)</f>
        <v>0</v>
      </c>
      <c r="C11" s="779">
        <f>Чорн!C11</f>
        <v>0</v>
      </c>
      <c r="D11" s="779"/>
      <c r="E11" s="329">
        <f>Відом!D13</f>
        <v>0</v>
      </c>
      <c r="F11" s="313">
        <f>Чорн!Z11+F35</f>
        <v>0</v>
      </c>
    </row>
    <row r="12" spans="1:6" ht="18" customHeight="1">
      <c r="A12" s="64">
        <v>5</v>
      </c>
      <c r="B12" s="393">
        <f>IF(Чорн!$C$3=Дані!$A$4,Дані!X30,Дані!X55)</f>
        <v>0</v>
      </c>
      <c r="C12" s="779">
        <f>Чорн!C12</f>
        <v>0</v>
      </c>
      <c r="D12" s="779"/>
      <c r="E12" s="329">
        <f>Відом!D14</f>
        <v>0</v>
      </c>
      <c r="F12" s="313">
        <f>Чорн!Z12+F36</f>
        <v>0</v>
      </c>
    </row>
    <row r="13" spans="1:6" ht="18" customHeight="1">
      <c r="A13" s="64">
        <v>6</v>
      </c>
      <c r="B13" s="393">
        <f>IF(Чорн!$C$3=Дані!$A$4,Дані!X31,Дані!X56)</f>
        <v>0</v>
      </c>
      <c r="C13" s="779">
        <f>Чорн!C13</f>
        <v>0</v>
      </c>
      <c r="D13" s="779"/>
      <c r="E13" s="329">
        <f>Відом!D15</f>
        <v>0</v>
      </c>
      <c r="F13" s="313">
        <f>Чорн!Z13+F37</f>
        <v>0</v>
      </c>
    </row>
    <row r="14" spans="1:6" ht="18" customHeight="1">
      <c r="A14" s="64">
        <v>7</v>
      </c>
      <c r="B14" s="393">
        <f>IF(Чорн!$C$3=Дані!$A$4,Дані!X32,Дані!X57)</f>
        <v>0</v>
      </c>
      <c r="C14" s="779">
        <f>Чорн!C14</f>
        <v>0</v>
      </c>
      <c r="D14" s="779"/>
      <c r="E14" s="329">
        <f>Відом!D16</f>
        <v>0</v>
      </c>
      <c r="F14" s="313">
        <f>Чорн!Z14+F38</f>
        <v>0</v>
      </c>
    </row>
    <row r="15" spans="1:6" ht="18" customHeight="1">
      <c r="A15" s="64">
        <v>8</v>
      </c>
      <c r="B15" s="393">
        <f>IF(Чорн!$C$3=Дані!$A$4,Дані!X33,Дані!X58)</f>
        <v>0</v>
      </c>
      <c r="C15" s="779">
        <f>Чорн!C15</f>
        <v>0</v>
      </c>
      <c r="D15" s="779"/>
      <c r="E15" s="329">
        <f>Відом!D17</f>
        <v>0</v>
      </c>
      <c r="F15" s="313">
        <f>Чорн!Z15+F39</f>
        <v>0</v>
      </c>
    </row>
    <row r="16" spans="1:6" ht="18" customHeight="1">
      <c r="A16" s="64">
        <v>9</v>
      </c>
      <c r="B16" s="393">
        <f>IF(Чорн!$C$3=Дані!$A$4,Дані!X34,Дані!X59)</f>
        <v>0</v>
      </c>
      <c r="C16" s="779">
        <f>Чорн!C16</f>
        <v>0</v>
      </c>
      <c r="D16" s="779"/>
      <c r="E16" s="329">
        <f>Відом!D18</f>
        <v>0</v>
      </c>
      <c r="F16" s="313">
        <f>Чорн!Z16+F45</f>
        <v>0</v>
      </c>
    </row>
    <row r="17" spans="1:6" ht="18" customHeight="1">
      <c r="A17" s="64">
        <v>10</v>
      </c>
      <c r="B17" s="393">
        <f>IF(Чорн!$C$3=Дані!$A$4,Дані!X35,Дані!X60)</f>
        <v>0</v>
      </c>
      <c r="C17" s="779">
        <f>Чорн!C17</f>
        <v>0</v>
      </c>
      <c r="D17" s="779"/>
      <c r="E17" s="329">
        <f>Відом!D19</f>
        <v>0</v>
      </c>
      <c r="F17" s="313">
        <f>Чорн!Z17+F46</f>
        <v>0</v>
      </c>
    </row>
    <row r="18" spans="1:6" ht="18" customHeight="1">
      <c r="A18" s="64">
        <v>11</v>
      </c>
      <c r="B18" s="393">
        <f>IF(Чорн!$C$3=Дані!$A$4,Дані!X36,Дані!X61)</f>
        <v>0</v>
      </c>
      <c r="C18" s="779">
        <f>Чорн!C18</f>
        <v>0</v>
      </c>
      <c r="D18" s="779"/>
      <c r="E18" s="329">
        <f>Відом!D20</f>
        <v>0</v>
      </c>
      <c r="F18" s="313">
        <f>Чорн!Z18+F47</f>
        <v>0</v>
      </c>
    </row>
    <row r="19" spans="1:6" ht="18" customHeight="1">
      <c r="A19" s="64">
        <v>12</v>
      </c>
      <c r="B19" s="393">
        <f>IF(Чорн!$C$3=Дані!$A$4,Дані!X37,Дані!X62)</f>
        <v>0</v>
      </c>
      <c r="C19" s="779">
        <f>Чорн!C19</f>
        <v>0</v>
      </c>
      <c r="D19" s="779"/>
      <c r="E19" s="329">
        <f>Відом!D21</f>
        <v>0</v>
      </c>
      <c r="F19" s="313">
        <f>Чорн!Z19+F48</f>
        <v>0</v>
      </c>
    </row>
    <row r="20" spans="1:6" ht="18" customHeight="1">
      <c r="A20" s="64">
        <v>13</v>
      </c>
      <c r="B20" s="393">
        <f>IF(Чорн!$C$3=Дані!$A$4,Дані!X38,Дані!X63)</f>
        <v>0</v>
      </c>
      <c r="C20" s="779">
        <f>Чорн!C20</f>
        <v>0</v>
      </c>
      <c r="D20" s="779"/>
      <c r="E20" s="329">
        <f>Відом!D22</f>
        <v>0</v>
      </c>
      <c r="F20" s="313">
        <f>Чорн!Z20+F49</f>
        <v>0</v>
      </c>
    </row>
    <row r="21" spans="1:6" ht="18" customHeight="1">
      <c r="A21" s="64">
        <v>14</v>
      </c>
      <c r="B21" s="393">
        <f>IF(Чорн!$C$3=Дані!$A$4,Дані!X39,Дані!X64)</f>
        <v>0</v>
      </c>
      <c r="C21" s="779">
        <f>Чорн!C21</f>
        <v>0</v>
      </c>
      <c r="D21" s="779"/>
      <c r="E21" s="329">
        <f>Відом!D23</f>
        <v>0</v>
      </c>
      <c r="F21" s="313">
        <f>Чорн!Z21+F50</f>
        <v>0</v>
      </c>
    </row>
    <row r="22" spans="1:8" ht="18" customHeight="1" thickBot="1">
      <c r="A22" s="64">
        <v>15</v>
      </c>
      <c r="B22" s="393">
        <f>IF(Чорн!$C$3=Дані!$A$4,Дані!X40,Дані!X65)</f>
        <v>0</v>
      </c>
      <c r="C22" s="779">
        <f>Чорн!C22</f>
        <v>0</v>
      </c>
      <c r="D22" s="779"/>
      <c r="E22" s="329">
        <f>Відом!D24</f>
        <v>0</v>
      </c>
      <c r="F22" s="313">
        <f>Чорн!Z22+F51</f>
        <v>0</v>
      </c>
      <c r="H22" s="176" t="s">
        <v>339</v>
      </c>
    </row>
    <row r="23" spans="1:7" ht="18" customHeight="1" thickBot="1">
      <c r="A23" s="796" t="s">
        <v>48</v>
      </c>
      <c r="B23" s="797"/>
      <c r="C23" s="797"/>
      <c r="D23" s="797"/>
      <c r="E23" s="797"/>
      <c r="F23" s="239">
        <f>ROUND(SUM(F8:F22),2)</f>
        <v>3209.31</v>
      </c>
      <c r="G23" s="123">
        <f>Заявка!M54</f>
        <v>3209.3100000000004</v>
      </c>
    </row>
    <row r="24" spans="1:6" ht="15.75">
      <c r="A24" s="60"/>
      <c r="B24" s="23"/>
      <c r="C24" s="23"/>
      <c r="D24" s="23"/>
      <c r="E24" s="23"/>
      <c r="F24" s="23"/>
    </row>
    <row r="25" spans="1:6" ht="15.75" customHeight="1">
      <c r="A25" s="790" t="s">
        <v>49</v>
      </c>
      <c r="B25" s="790"/>
      <c r="C25" s="786" t="str">
        <f>converter(F23)</f>
        <v>Три тисячі двісті дев'ять гривень 31 копійка.</v>
      </c>
      <c r="D25" s="786"/>
      <c r="E25" s="786"/>
      <c r="F25" s="786"/>
    </row>
    <row r="26" spans="1:6" ht="15.75">
      <c r="A26" s="60"/>
      <c r="B26" s="23"/>
      <c r="C26" s="786"/>
      <c r="D26" s="786"/>
      <c r="E26" s="786"/>
      <c r="F26" s="786"/>
    </row>
    <row r="27" spans="1:6" ht="15.75">
      <c r="A27" s="781" t="str">
        <f>Дані!B11</f>
        <v>Сільський голова</v>
      </c>
      <c r="B27" s="781"/>
      <c r="C27" s="781"/>
      <c r="D27" s="174"/>
      <c r="E27" s="174" t="str">
        <f>Дані!D11</f>
        <v>Іваанов</v>
      </c>
      <c r="F27" s="174"/>
    </row>
    <row r="28" spans="1:6" ht="9.75" customHeight="1">
      <c r="A28" s="60"/>
      <c r="B28" s="23"/>
      <c r="C28" s="23"/>
      <c r="D28" s="23"/>
      <c r="E28" s="174"/>
      <c r="F28" s="23"/>
    </row>
    <row r="29" spans="1:6" ht="15.75">
      <c r="A29" s="781" t="str">
        <f>Дані!B12</f>
        <v>Головний бухгалтер</v>
      </c>
      <c r="B29" s="781"/>
      <c r="C29" s="781"/>
      <c r="D29" s="174"/>
      <c r="E29" s="174" t="str">
        <f>Дані!D12</f>
        <v>сідоров</v>
      </c>
      <c r="F29" s="174"/>
    </row>
    <row r="30" ht="49.5" customHeight="1">
      <c r="A30" s="62"/>
    </row>
    <row r="31" spans="1:6" ht="30" customHeight="1">
      <c r="A31" s="67" t="s">
        <v>44</v>
      </c>
      <c r="B31" s="67" t="s">
        <v>45</v>
      </c>
      <c r="C31" s="795" t="s">
        <v>19</v>
      </c>
      <c r="D31" s="795"/>
      <c r="E31" s="67" t="s">
        <v>46</v>
      </c>
      <c r="F31" s="67" t="s">
        <v>47</v>
      </c>
    </row>
    <row r="32" spans="1:8" ht="18" customHeight="1">
      <c r="A32" s="64">
        <v>1</v>
      </c>
      <c r="B32" s="393">
        <f aca="true" t="shared" si="0" ref="B32:C35">B8</f>
        <v>0</v>
      </c>
      <c r="C32" s="777">
        <f t="shared" si="0"/>
        <v>0</v>
      </c>
      <c r="D32" s="778"/>
      <c r="E32" s="329">
        <f>E8</f>
        <v>0</v>
      </c>
      <c r="F32" s="905">
        <v>0</v>
      </c>
      <c r="G32" s="176"/>
      <c r="H32" s="176" t="s">
        <v>238</v>
      </c>
    </row>
    <row r="33" spans="1:6" ht="18" customHeight="1">
      <c r="A33" s="64">
        <v>2</v>
      </c>
      <c r="B33" s="393">
        <f t="shared" si="0"/>
        <v>0</v>
      </c>
      <c r="C33" s="777">
        <f t="shared" si="0"/>
        <v>0</v>
      </c>
      <c r="D33" s="778"/>
      <c r="E33" s="329">
        <f>E9</f>
        <v>0</v>
      </c>
      <c r="F33" s="905"/>
    </row>
    <row r="34" spans="1:6" ht="18" customHeight="1">
      <c r="A34" s="64">
        <v>3</v>
      </c>
      <c r="B34" s="393">
        <f t="shared" si="0"/>
        <v>0</v>
      </c>
      <c r="C34" s="777">
        <f t="shared" si="0"/>
        <v>0</v>
      </c>
      <c r="D34" s="778"/>
      <c r="E34" s="329">
        <f>E10</f>
        <v>0</v>
      </c>
      <c r="F34" s="905"/>
    </row>
    <row r="35" spans="1:6" ht="18" customHeight="1">
      <c r="A35" s="64">
        <v>4</v>
      </c>
      <c r="B35" s="393">
        <f t="shared" si="0"/>
        <v>0</v>
      </c>
      <c r="C35" s="777">
        <f t="shared" si="0"/>
        <v>0</v>
      </c>
      <c r="D35" s="778"/>
      <c r="E35" s="329">
        <f>E11</f>
        <v>0</v>
      </c>
      <c r="F35" s="905"/>
    </row>
    <row r="36" spans="1:6" ht="18" customHeight="1">
      <c r="A36" s="64">
        <v>5</v>
      </c>
      <c r="B36" s="393">
        <f aca="true" t="shared" si="1" ref="B36:C46">B12</f>
        <v>0</v>
      </c>
      <c r="C36" s="777">
        <f t="shared" si="1"/>
        <v>0</v>
      </c>
      <c r="D36" s="778"/>
      <c r="E36" s="329">
        <f aca="true" t="shared" si="2" ref="E36:E46">E12</f>
        <v>0</v>
      </c>
      <c r="F36" s="905"/>
    </row>
    <row r="37" spans="1:6" ht="18" customHeight="1">
      <c r="A37" s="64">
        <v>6</v>
      </c>
      <c r="B37" s="393">
        <f t="shared" si="1"/>
        <v>0</v>
      </c>
      <c r="C37" s="777">
        <f t="shared" si="1"/>
        <v>0</v>
      </c>
      <c r="D37" s="778"/>
      <c r="E37" s="329">
        <f t="shared" si="2"/>
        <v>0</v>
      </c>
      <c r="F37" s="905"/>
    </row>
    <row r="38" spans="1:6" ht="18" customHeight="1">
      <c r="A38" s="64">
        <v>7</v>
      </c>
      <c r="B38" s="393">
        <f t="shared" si="1"/>
        <v>0</v>
      </c>
      <c r="C38" s="777">
        <f t="shared" si="1"/>
        <v>0</v>
      </c>
      <c r="D38" s="778"/>
      <c r="E38" s="329">
        <f t="shared" si="2"/>
        <v>0</v>
      </c>
      <c r="F38" s="905"/>
    </row>
    <row r="39" spans="1:6" ht="18" customHeight="1">
      <c r="A39" s="64">
        <v>8</v>
      </c>
      <c r="B39" s="393">
        <f t="shared" si="1"/>
        <v>0</v>
      </c>
      <c r="C39" s="777">
        <f t="shared" si="1"/>
        <v>0</v>
      </c>
      <c r="D39" s="778"/>
      <c r="E39" s="329">
        <f t="shared" si="2"/>
        <v>0</v>
      </c>
      <c r="F39" s="905"/>
    </row>
    <row r="40" spans="1:6" ht="18" customHeight="1">
      <c r="A40" s="64">
        <v>9</v>
      </c>
      <c r="B40" s="393">
        <f t="shared" si="1"/>
        <v>0</v>
      </c>
      <c r="C40" s="777">
        <f t="shared" si="1"/>
        <v>0</v>
      </c>
      <c r="D40" s="778"/>
      <c r="E40" s="329">
        <f t="shared" si="2"/>
        <v>0</v>
      </c>
      <c r="F40" s="905"/>
    </row>
    <row r="41" spans="1:6" ht="18" customHeight="1">
      <c r="A41" s="64">
        <v>10</v>
      </c>
      <c r="B41" s="393">
        <f t="shared" si="1"/>
        <v>0</v>
      </c>
      <c r="C41" s="777">
        <f t="shared" si="1"/>
        <v>0</v>
      </c>
      <c r="D41" s="778"/>
      <c r="E41" s="329">
        <f t="shared" si="2"/>
        <v>0</v>
      </c>
      <c r="F41" s="905"/>
    </row>
    <row r="42" spans="1:6" ht="18" customHeight="1">
      <c r="A42" s="64">
        <v>11</v>
      </c>
      <c r="B42" s="393">
        <f t="shared" si="1"/>
        <v>0</v>
      </c>
      <c r="C42" s="777">
        <f t="shared" si="1"/>
        <v>0</v>
      </c>
      <c r="D42" s="778"/>
      <c r="E42" s="329">
        <f t="shared" si="2"/>
        <v>0</v>
      </c>
      <c r="F42" s="905"/>
    </row>
    <row r="43" spans="1:6" ht="18" customHeight="1">
      <c r="A43" s="64">
        <v>12</v>
      </c>
      <c r="B43" s="393">
        <f t="shared" si="1"/>
        <v>0</v>
      </c>
      <c r="C43" s="777">
        <f t="shared" si="1"/>
        <v>0</v>
      </c>
      <c r="D43" s="778"/>
      <c r="E43" s="329">
        <f t="shared" si="2"/>
        <v>0</v>
      </c>
      <c r="F43" s="905"/>
    </row>
    <row r="44" spans="1:6" ht="18" customHeight="1">
      <c r="A44" s="64">
        <v>13</v>
      </c>
      <c r="B44" s="393">
        <f t="shared" si="1"/>
        <v>0</v>
      </c>
      <c r="C44" s="777">
        <f t="shared" si="1"/>
        <v>0</v>
      </c>
      <c r="D44" s="778"/>
      <c r="E44" s="329">
        <f t="shared" si="2"/>
        <v>0</v>
      </c>
      <c r="F44" s="905"/>
    </row>
    <row r="45" spans="1:6" ht="18" customHeight="1">
      <c r="A45" s="64">
        <v>14</v>
      </c>
      <c r="B45" s="393">
        <f t="shared" si="1"/>
        <v>0</v>
      </c>
      <c r="C45" s="777">
        <f t="shared" si="1"/>
        <v>0</v>
      </c>
      <c r="D45" s="778"/>
      <c r="E45" s="329">
        <f t="shared" si="2"/>
        <v>0</v>
      </c>
      <c r="F45" s="905"/>
    </row>
    <row r="46" spans="1:6" ht="18" customHeight="1">
      <c r="A46" s="64">
        <v>15</v>
      </c>
      <c r="B46" s="393">
        <f t="shared" si="1"/>
        <v>0</v>
      </c>
      <c r="C46" s="777">
        <f t="shared" si="1"/>
        <v>0</v>
      </c>
      <c r="D46" s="778"/>
      <c r="E46" s="329">
        <f t="shared" si="2"/>
        <v>0</v>
      </c>
      <c r="F46" s="905"/>
    </row>
    <row r="47" spans="1:6" ht="18" customHeight="1">
      <c r="A47" s="796" t="s">
        <v>48</v>
      </c>
      <c r="B47" s="797"/>
      <c r="C47" s="797"/>
      <c r="D47" s="797"/>
      <c r="E47" s="797"/>
      <c r="F47" s="313">
        <f>SUM(F32:F46)</f>
        <v>0</v>
      </c>
    </row>
    <row r="48" spans="1:6" ht="15.75">
      <c r="A48" s="60"/>
      <c r="B48" s="23"/>
      <c r="C48" s="23"/>
      <c r="D48" s="23"/>
      <c r="E48" s="23"/>
      <c r="F48" s="23"/>
    </row>
    <row r="49" spans="1:6" ht="15" customHeight="1">
      <c r="A49" s="790" t="s">
        <v>49</v>
      </c>
      <c r="B49" s="790"/>
      <c r="C49" s="786" t="str">
        <f>converter(F47)</f>
        <v>Гривень 00 копійок.</v>
      </c>
      <c r="D49" s="786"/>
      <c r="E49" s="786"/>
      <c r="F49" s="786"/>
    </row>
    <row r="50" spans="1:6" ht="15.75">
      <c r="A50" s="60"/>
      <c r="B50" s="23"/>
      <c r="C50" s="786"/>
      <c r="D50" s="786"/>
      <c r="E50" s="786"/>
      <c r="F50" s="786"/>
    </row>
  </sheetData>
  <sheetProtection sheet="1" objects="1" formatCells="0" selectLockedCells="1"/>
  <mergeCells count="44">
    <mergeCell ref="C7:D7"/>
    <mergeCell ref="C12:D12"/>
    <mergeCell ref="C11:D11"/>
    <mergeCell ref="C10:D10"/>
    <mergeCell ref="C9:D9"/>
    <mergeCell ref="C36:D36"/>
    <mergeCell ref="A5:F5"/>
    <mergeCell ref="A29:C29"/>
    <mergeCell ref="C13:D13"/>
    <mergeCell ref="C19:D19"/>
    <mergeCell ref="C20:D20"/>
    <mergeCell ref="C21:D21"/>
    <mergeCell ref="C22:D22"/>
    <mergeCell ref="A27:C27"/>
    <mergeCell ref="C8:D8"/>
    <mergeCell ref="C46:D46"/>
    <mergeCell ref="C45:D45"/>
    <mergeCell ref="C37:D37"/>
    <mergeCell ref="C38:D38"/>
    <mergeCell ref="C39:D39"/>
    <mergeCell ref="A2:D2"/>
    <mergeCell ref="G1:G2"/>
    <mergeCell ref="A49:B49"/>
    <mergeCell ref="C49:F50"/>
    <mergeCell ref="C34:D34"/>
    <mergeCell ref="A4:D4"/>
    <mergeCell ref="A47:E47"/>
    <mergeCell ref="C31:D31"/>
    <mergeCell ref="A23:E23"/>
    <mergeCell ref="A25:B25"/>
    <mergeCell ref="C14:D14"/>
    <mergeCell ref="C15:D15"/>
    <mergeCell ref="C16:D16"/>
    <mergeCell ref="C17:D17"/>
    <mergeCell ref="C43:D43"/>
    <mergeCell ref="C44:D44"/>
    <mergeCell ref="C18:D18"/>
    <mergeCell ref="C40:D40"/>
    <mergeCell ref="C41:D41"/>
    <mergeCell ref="C42:D42"/>
    <mergeCell ref="C25:F26"/>
    <mergeCell ref="C33:D33"/>
    <mergeCell ref="C32:D32"/>
    <mergeCell ref="C35:D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W43"/>
  <sheetViews>
    <sheetView zoomScalePageLayoutView="0" workbookViewId="0" topLeftCell="A28">
      <selection activeCell="Q24" sqref="Q24"/>
    </sheetView>
  </sheetViews>
  <sheetFormatPr defaultColWidth="9.140625" defaultRowHeight="12.75"/>
  <cols>
    <col min="1" max="1" width="6.7109375" style="0" customWidth="1"/>
    <col min="3" max="3" width="6.28125" style="0" customWidth="1"/>
    <col min="4" max="5" width="4.7109375" style="0" customWidth="1"/>
    <col min="6" max="6" width="7.00390625" style="0" customWidth="1"/>
    <col min="7" max="7" width="4.7109375" style="0" customWidth="1"/>
    <col min="8" max="8" width="7.7109375" style="0" customWidth="1"/>
    <col min="9" max="10" width="4.7109375" style="0" customWidth="1"/>
    <col min="11" max="17" width="7.00390625" style="0" customWidth="1"/>
    <col min="18" max="19" width="3.7109375" style="0" customWidth="1"/>
    <col min="20" max="23" width="7.00390625" style="0" customWidth="1"/>
  </cols>
  <sheetData>
    <row r="1" spans="1:21" ht="37.5" customHeight="1">
      <c r="A1" s="103" t="str">
        <f>Дані!B2</f>
        <v> сільська  рада</v>
      </c>
      <c r="H1" s="90"/>
      <c r="L1" s="57" t="s">
        <v>114</v>
      </c>
      <c r="M1" s="57"/>
      <c r="N1" s="57"/>
      <c r="O1" s="57"/>
      <c r="P1" s="57"/>
      <c r="Q1" s="57"/>
      <c r="R1" s="57"/>
      <c r="S1" s="373">
        <v>5</v>
      </c>
      <c r="T1" s="374">
        <f>IF(Чорн!C3=Дані!A4,Дані!D4,Дані!D5)</f>
        <v>0</v>
      </c>
      <c r="U1" s="116"/>
    </row>
    <row r="2" spans="1:17" ht="15.75">
      <c r="A2" s="807" t="str">
        <f>Дані!B3</f>
        <v>0441*****</v>
      </c>
      <c r="B2" s="808"/>
      <c r="H2" s="104"/>
      <c r="I2" s="105"/>
      <c r="J2" s="105"/>
      <c r="K2" s="105"/>
      <c r="M2" s="104" t="s">
        <v>11</v>
      </c>
      <c r="N2" s="809" t="str">
        <f>Чорн!M3</f>
        <v>березень</v>
      </c>
      <c r="O2" s="809"/>
      <c r="P2" s="809"/>
      <c r="Q2" t="s">
        <v>226</v>
      </c>
    </row>
    <row r="4" spans="6:22" ht="15.75">
      <c r="F4" s="106"/>
      <c r="G4" s="810" t="s">
        <v>115</v>
      </c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</row>
    <row r="6" spans="1:23" ht="38.25" customHeight="1">
      <c r="A6" s="54" t="s">
        <v>116</v>
      </c>
      <c r="B6" s="811" t="s">
        <v>117</v>
      </c>
      <c r="C6" s="811"/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1"/>
      <c r="O6" s="812" t="s">
        <v>118</v>
      </c>
      <c r="P6" s="813"/>
      <c r="Q6" s="814"/>
      <c r="R6" s="812" t="s">
        <v>119</v>
      </c>
      <c r="S6" s="813"/>
      <c r="T6" s="814"/>
      <c r="U6" s="815" t="s">
        <v>47</v>
      </c>
      <c r="V6" s="816"/>
      <c r="W6" s="817"/>
    </row>
    <row r="7" spans="1:23" ht="19.5" customHeight="1">
      <c r="A7" s="107">
        <v>1</v>
      </c>
      <c r="B7" s="818" t="s">
        <v>120</v>
      </c>
      <c r="C7" s="818"/>
      <c r="D7" s="818"/>
      <c r="E7" s="818"/>
      <c r="F7" s="818"/>
      <c r="G7" s="818"/>
      <c r="H7" s="818"/>
      <c r="I7" s="818"/>
      <c r="J7" s="818"/>
      <c r="K7" s="818"/>
      <c r="L7" s="818"/>
      <c r="M7" s="818"/>
      <c r="N7" s="818"/>
      <c r="O7" s="815">
        <v>802</v>
      </c>
      <c r="P7" s="816"/>
      <c r="Q7" s="817"/>
      <c r="R7" s="815">
        <v>661</v>
      </c>
      <c r="S7" s="816"/>
      <c r="T7" s="817"/>
      <c r="U7" s="819">
        <f>I30</f>
        <v>3831.5</v>
      </c>
      <c r="V7" s="820"/>
      <c r="W7" s="821"/>
    </row>
    <row r="8" spans="1:23" ht="19.5" customHeight="1">
      <c r="A8" s="107">
        <v>2</v>
      </c>
      <c r="B8" s="818" t="s">
        <v>121</v>
      </c>
      <c r="C8" s="818"/>
      <c r="D8" s="818"/>
      <c r="E8" s="818"/>
      <c r="F8" s="818"/>
      <c r="G8" s="818"/>
      <c r="H8" s="818"/>
      <c r="I8" s="818"/>
      <c r="J8" s="818"/>
      <c r="K8" s="818"/>
      <c r="L8" s="818"/>
      <c r="M8" s="818"/>
      <c r="N8" s="818"/>
      <c r="O8" s="815">
        <v>652</v>
      </c>
      <c r="P8" s="816"/>
      <c r="Q8" s="817"/>
      <c r="R8" s="815">
        <v>661</v>
      </c>
      <c r="S8" s="816"/>
      <c r="T8" s="817"/>
      <c r="U8" s="819">
        <f>H30</f>
        <v>0</v>
      </c>
      <c r="V8" s="820"/>
      <c r="W8" s="821"/>
    </row>
    <row r="9" spans="1:23" ht="19.5" customHeight="1">
      <c r="A9" s="107">
        <v>3</v>
      </c>
      <c r="B9" s="818" t="s">
        <v>122</v>
      </c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5">
        <v>802</v>
      </c>
      <c r="P9" s="816"/>
      <c r="Q9" s="817"/>
      <c r="R9" s="815">
        <v>651</v>
      </c>
      <c r="S9" s="816"/>
      <c r="T9" s="817"/>
      <c r="U9" s="819">
        <f>T30</f>
        <v>488.42</v>
      </c>
      <c r="V9" s="820"/>
      <c r="W9" s="821"/>
    </row>
    <row r="10" spans="1:23" ht="19.5" customHeight="1">
      <c r="A10" s="107">
        <v>4</v>
      </c>
      <c r="B10" s="818" t="s">
        <v>123</v>
      </c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5">
        <v>802</v>
      </c>
      <c r="P10" s="816"/>
      <c r="Q10" s="817"/>
      <c r="R10" s="815">
        <v>651</v>
      </c>
      <c r="S10" s="816"/>
      <c r="T10" s="817"/>
      <c r="U10" s="819">
        <f>U30</f>
        <v>209.07</v>
      </c>
      <c r="V10" s="820"/>
      <c r="W10" s="821"/>
    </row>
    <row r="11" spans="1:23" ht="19.5" customHeight="1">
      <c r="A11" s="107">
        <v>5</v>
      </c>
      <c r="B11" s="818" t="s">
        <v>124</v>
      </c>
      <c r="C11" s="818"/>
      <c r="D11" s="818"/>
      <c r="E11" s="818"/>
      <c r="F11" s="818"/>
      <c r="G11" s="818"/>
      <c r="H11" s="818"/>
      <c r="I11" s="818"/>
      <c r="J11" s="818"/>
      <c r="K11" s="818"/>
      <c r="L11" s="818"/>
      <c r="M11" s="818"/>
      <c r="N11" s="818"/>
      <c r="O11" s="815">
        <v>802</v>
      </c>
      <c r="P11" s="816"/>
      <c r="Q11" s="817"/>
      <c r="R11" s="815">
        <v>652</v>
      </c>
      <c r="S11" s="816"/>
      <c r="T11" s="817"/>
      <c r="U11" s="819">
        <f>V30</f>
        <v>0</v>
      </c>
      <c r="V11" s="820"/>
      <c r="W11" s="821"/>
    </row>
    <row r="12" spans="1:23" ht="19.5" customHeight="1">
      <c r="A12" s="107">
        <v>6</v>
      </c>
      <c r="B12" s="818" t="s">
        <v>125</v>
      </c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5">
        <v>661</v>
      </c>
      <c r="P12" s="816"/>
      <c r="Q12" s="817"/>
      <c r="R12" s="815">
        <v>641</v>
      </c>
      <c r="S12" s="816"/>
      <c r="T12" s="817"/>
      <c r="U12" s="819">
        <f>L30</f>
        <v>350.15</v>
      </c>
      <c r="V12" s="820"/>
      <c r="W12" s="821"/>
    </row>
    <row r="13" spans="1:23" ht="19.5" customHeight="1">
      <c r="A13" s="107">
        <v>7</v>
      </c>
      <c r="B13" s="818" t="s">
        <v>126</v>
      </c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5">
        <v>661</v>
      </c>
      <c r="P13" s="816"/>
      <c r="Q13" s="817"/>
      <c r="R13" s="815">
        <v>655</v>
      </c>
      <c r="S13" s="816"/>
      <c r="T13" s="817"/>
      <c r="U13" s="819">
        <f>M30</f>
        <v>233.72000000000003</v>
      </c>
      <c r="V13" s="820"/>
      <c r="W13" s="821"/>
    </row>
    <row r="14" spans="1:23" ht="19.5" customHeight="1">
      <c r="A14" s="107">
        <v>8</v>
      </c>
      <c r="B14" s="818" t="s">
        <v>127</v>
      </c>
      <c r="C14" s="818"/>
      <c r="D14" s="818"/>
      <c r="E14" s="818"/>
      <c r="F14" s="818"/>
      <c r="G14" s="818"/>
      <c r="H14" s="818"/>
      <c r="I14" s="818"/>
      <c r="J14" s="818"/>
      <c r="K14" s="818"/>
      <c r="L14" s="818"/>
      <c r="M14" s="818"/>
      <c r="N14" s="818"/>
      <c r="O14" s="815">
        <v>661</v>
      </c>
      <c r="P14" s="816"/>
      <c r="Q14" s="817"/>
      <c r="R14" s="815">
        <v>655</v>
      </c>
      <c r="S14" s="816"/>
      <c r="T14" s="817"/>
      <c r="U14" s="819">
        <f>N30</f>
        <v>0</v>
      </c>
      <c r="V14" s="820"/>
      <c r="W14" s="821"/>
    </row>
    <row r="15" spans="1:23" ht="19.5" customHeight="1">
      <c r="A15" s="107">
        <v>9</v>
      </c>
      <c r="B15" s="818" t="s">
        <v>128</v>
      </c>
      <c r="C15" s="818"/>
      <c r="D15" s="818"/>
      <c r="E15" s="818"/>
      <c r="F15" s="818"/>
      <c r="G15" s="818"/>
      <c r="H15" s="818"/>
      <c r="I15" s="818"/>
      <c r="J15" s="818"/>
      <c r="K15" s="818"/>
      <c r="L15" s="818"/>
      <c r="M15" s="818"/>
      <c r="N15" s="818"/>
      <c r="O15" s="815">
        <v>661</v>
      </c>
      <c r="P15" s="816"/>
      <c r="Q15" s="817"/>
      <c r="R15" s="815">
        <v>656</v>
      </c>
      <c r="S15" s="816"/>
      <c r="T15" s="817"/>
      <c r="U15" s="819">
        <f>O30</f>
        <v>0</v>
      </c>
      <c r="V15" s="820"/>
      <c r="W15" s="821"/>
    </row>
    <row r="16" spans="1:23" ht="19.5" customHeight="1">
      <c r="A16" s="107">
        <v>10</v>
      </c>
      <c r="B16" s="818" t="s">
        <v>129</v>
      </c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5">
        <v>661</v>
      </c>
      <c r="P16" s="816"/>
      <c r="Q16" s="817"/>
      <c r="R16" s="815">
        <v>666</v>
      </c>
      <c r="S16" s="816"/>
      <c r="T16" s="817"/>
      <c r="U16" s="819">
        <f>P30</f>
        <v>38.32</v>
      </c>
      <c r="V16" s="820"/>
      <c r="W16" s="821"/>
    </row>
    <row r="17" spans="1:23" ht="19.5" customHeight="1">
      <c r="A17" s="107">
        <v>11</v>
      </c>
      <c r="B17" s="818" t="s">
        <v>5</v>
      </c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5"/>
      <c r="P17" s="816"/>
      <c r="Q17" s="817"/>
      <c r="R17" s="815"/>
      <c r="S17" s="816"/>
      <c r="T17" s="817"/>
      <c r="U17" s="819"/>
      <c r="V17" s="820"/>
      <c r="W17" s="821"/>
    </row>
    <row r="18" spans="1:23" ht="19.5" customHeight="1">
      <c r="A18" s="107">
        <v>12</v>
      </c>
      <c r="B18" s="818" t="s">
        <v>130</v>
      </c>
      <c r="C18" s="818"/>
      <c r="D18" s="818"/>
      <c r="E18" s="818"/>
      <c r="F18" s="818"/>
      <c r="G18" s="818"/>
      <c r="H18" s="818"/>
      <c r="I18" s="818"/>
      <c r="J18" s="818"/>
      <c r="K18" s="818"/>
      <c r="L18" s="818"/>
      <c r="M18" s="818"/>
      <c r="N18" s="818"/>
      <c r="O18" s="815">
        <v>661</v>
      </c>
      <c r="P18" s="816"/>
      <c r="Q18" s="817"/>
      <c r="R18" s="815">
        <v>664</v>
      </c>
      <c r="S18" s="816"/>
      <c r="T18" s="817"/>
      <c r="U18" s="819">
        <f>R30</f>
        <v>3209.31</v>
      </c>
      <c r="V18" s="822"/>
      <c r="W18" s="823"/>
    </row>
    <row r="19" spans="1:23" ht="19.5" customHeight="1">
      <c r="A19" s="107">
        <v>13</v>
      </c>
      <c r="B19" s="818" t="s">
        <v>5</v>
      </c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5"/>
      <c r="P19" s="816"/>
      <c r="Q19" s="817"/>
      <c r="R19" s="815"/>
      <c r="S19" s="816"/>
      <c r="T19" s="817"/>
      <c r="U19" s="819"/>
      <c r="V19" s="822"/>
      <c r="W19" s="823"/>
    </row>
    <row r="20" spans="1:23" ht="19.5" customHeight="1">
      <c r="A20" s="107">
        <v>14</v>
      </c>
      <c r="B20" s="818"/>
      <c r="C20" s="818"/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18"/>
      <c r="O20" s="815"/>
      <c r="P20" s="816"/>
      <c r="Q20" s="817"/>
      <c r="R20" s="815"/>
      <c r="S20" s="816"/>
      <c r="T20" s="817"/>
      <c r="U20" s="819"/>
      <c r="V20" s="822"/>
      <c r="W20" s="823"/>
    </row>
    <row r="21" spans="1:23" ht="19.5" customHeight="1">
      <c r="A21" s="54"/>
      <c r="B21" s="818"/>
      <c r="C21" s="818"/>
      <c r="D21" s="818"/>
      <c r="E21" s="818"/>
      <c r="F21" s="818"/>
      <c r="G21" s="818"/>
      <c r="H21" s="818"/>
      <c r="I21" s="818"/>
      <c r="J21" s="818"/>
      <c r="K21" s="818"/>
      <c r="L21" s="818"/>
      <c r="M21" s="818"/>
      <c r="N21" s="818"/>
      <c r="O21" s="815" t="s">
        <v>131</v>
      </c>
      <c r="P21" s="816"/>
      <c r="Q21" s="816"/>
      <c r="R21" s="816"/>
      <c r="S21" s="816"/>
      <c r="T21" s="817"/>
      <c r="U21" s="819">
        <f>SUM(U7:W20)</f>
        <v>8360.49</v>
      </c>
      <c r="V21" s="822"/>
      <c r="W21" s="823"/>
    </row>
    <row r="22" spans="1:23" ht="30" customHeight="1">
      <c r="A22" s="10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824" t="s">
        <v>132</v>
      </c>
      <c r="N22" s="824"/>
      <c r="O22" s="824"/>
      <c r="P22" s="824"/>
      <c r="Q22" s="824"/>
      <c r="R22" s="824"/>
      <c r="S22" s="825">
        <f>U21</f>
        <v>8360.49</v>
      </c>
      <c r="T22" s="826"/>
      <c r="U22" s="826"/>
      <c r="V22" s="826"/>
      <c r="W22" s="826"/>
    </row>
    <row r="23" spans="1:23" ht="12" customHeight="1">
      <c r="A23" s="10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2"/>
      <c r="P23" s="2"/>
      <c r="Q23" s="2"/>
      <c r="R23" s="2"/>
      <c r="S23" s="2"/>
      <c r="T23" s="2"/>
      <c r="U23" s="2"/>
      <c r="V23" s="2"/>
      <c r="W23" s="2"/>
    </row>
    <row r="24" spans="1:23" ht="30" customHeight="1">
      <c r="A24" s="863" t="s">
        <v>333</v>
      </c>
      <c r="B24" s="863"/>
      <c r="C24" s="863"/>
      <c r="D24" s="863"/>
      <c r="E24" s="375"/>
      <c r="F24" s="375"/>
      <c r="G24" s="375"/>
      <c r="H24" s="864" t="str">
        <f>Дані!D12</f>
        <v>сідоров</v>
      </c>
      <c r="I24" s="864"/>
      <c r="J24" s="864"/>
      <c r="K24" s="864"/>
      <c r="L24" s="108"/>
      <c r="M24" s="108"/>
      <c r="N24" s="108"/>
      <c r="O24" s="2"/>
      <c r="P24" s="2"/>
      <c r="Q24" s="109">
        <v>29</v>
      </c>
      <c r="R24" s="827" t="str">
        <f>IF(Чорн!R1&lt;7,Дані!B21,Дані!B22)</f>
        <v>березня</v>
      </c>
      <c r="S24" s="827"/>
      <c r="T24" s="827"/>
      <c r="U24" s="827"/>
      <c r="V24" s="110" t="s">
        <v>227</v>
      </c>
      <c r="W24" s="111"/>
    </row>
    <row r="25" spans="1:23" ht="27" customHeight="1">
      <c r="A25" s="10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2"/>
      <c r="P25" s="2"/>
      <c r="Q25" s="2"/>
      <c r="R25" s="2"/>
      <c r="S25" s="2"/>
      <c r="T25" s="2"/>
      <c r="U25" s="2"/>
      <c r="V25" s="2"/>
      <c r="W25" s="2"/>
    </row>
    <row r="26" spans="1:23" ht="21" customHeight="1">
      <c r="A26" s="865" t="s">
        <v>133</v>
      </c>
      <c r="B26" s="694"/>
      <c r="C26" s="866" t="s">
        <v>134</v>
      </c>
      <c r="D26" s="842" t="s">
        <v>338</v>
      </c>
      <c r="E26" s="843"/>
      <c r="F26" s="843"/>
      <c r="G26" s="843"/>
      <c r="H26" s="843"/>
      <c r="I26" s="836" t="s">
        <v>62</v>
      </c>
      <c r="J26" s="837"/>
      <c r="K26" s="868" t="s">
        <v>5</v>
      </c>
      <c r="L26" s="869"/>
      <c r="M26" s="869"/>
      <c r="N26" s="869"/>
      <c r="O26" s="869"/>
      <c r="P26" s="869"/>
      <c r="Q26" s="870"/>
      <c r="R26" s="828" t="s">
        <v>6</v>
      </c>
      <c r="S26" s="829"/>
      <c r="T26" s="830" t="s">
        <v>136</v>
      </c>
      <c r="U26" s="831"/>
      <c r="V26" s="831"/>
      <c r="W26" s="831"/>
    </row>
    <row r="27" spans="1:23" ht="53.25" customHeight="1">
      <c r="A27" s="694"/>
      <c r="B27" s="694"/>
      <c r="C27" s="866"/>
      <c r="D27" s="861" t="s">
        <v>137</v>
      </c>
      <c r="E27" s="862"/>
      <c r="F27" s="861" t="s">
        <v>138</v>
      </c>
      <c r="G27" s="549" t="s">
        <v>292</v>
      </c>
      <c r="H27" s="550"/>
      <c r="I27" s="838"/>
      <c r="J27" s="839"/>
      <c r="K27" s="828" t="s">
        <v>135</v>
      </c>
      <c r="L27" s="828" t="s">
        <v>139</v>
      </c>
      <c r="M27" s="828" t="s">
        <v>140</v>
      </c>
      <c r="N27" s="828" t="s">
        <v>141</v>
      </c>
      <c r="O27" s="828" t="s">
        <v>142</v>
      </c>
      <c r="P27" s="828" t="s">
        <v>4</v>
      </c>
      <c r="Q27" s="828" t="s">
        <v>8</v>
      </c>
      <c r="R27" s="828"/>
      <c r="S27" s="829"/>
      <c r="T27" s="722" t="s">
        <v>143</v>
      </c>
      <c r="U27" s="722" t="s">
        <v>144</v>
      </c>
      <c r="V27" s="722" t="s">
        <v>145</v>
      </c>
      <c r="W27" s="739"/>
    </row>
    <row r="28" spans="1:23" ht="56.25" customHeight="1">
      <c r="A28" s="694"/>
      <c r="B28" s="694"/>
      <c r="C28" s="866"/>
      <c r="D28" s="862"/>
      <c r="E28" s="862"/>
      <c r="F28" s="867"/>
      <c r="G28" s="531" t="s">
        <v>293</v>
      </c>
      <c r="H28" s="844" t="s">
        <v>294</v>
      </c>
      <c r="I28" s="838"/>
      <c r="J28" s="839"/>
      <c r="K28" s="828"/>
      <c r="L28" s="828"/>
      <c r="M28" s="828"/>
      <c r="N28" s="828"/>
      <c r="O28" s="828"/>
      <c r="P28" s="828"/>
      <c r="Q28" s="828"/>
      <c r="R28" s="828"/>
      <c r="S28" s="829"/>
      <c r="T28" s="832"/>
      <c r="U28" s="832"/>
      <c r="V28" s="832"/>
      <c r="W28" s="834"/>
    </row>
    <row r="29" spans="1:23" ht="60" customHeight="1">
      <c r="A29" s="694"/>
      <c r="B29" s="694"/>
      <c r="C29" s="866"/>
      <c r="D29" s="862"/>
      <c r="E29" s="862"/>
      <c r="F29" s="867"/>
      <c r="G29" s="533"/>
      <c r="H29" s="845"/>
      <c r="I29" s="840"/>
      <c r="J29" s="841"/>
      <c r="K29" s="828"/>
      <c r="L29" s="828"/>
      <c r="M29" s="828"/>
      <c r="N29" s="828"/>
      <c r="O29" s="828"/>
      <c r="P29" s="828"/>
      <c r="Q29" s="828"/>
      <c r="R29" s="828"/>
      <c r="S29" s="829"/>
      <c r="T29" s="833"/>
      <c r="U29" s="833"/>
      <c r="V29" s="833"/>
      <c r="W29" s="835"/>
    </row>
    <row r="30" spans="1:23" ht="14.25">
      <c r="A30" s="850" t="s">
        <v>146</v>
      </c>
      <c r="B30" s="851"/>
      <c r="C30" s="115">
        <f>Чорн!R1</f>
        <v>3</v>
      </c>
      <c r="D30" s="852">
        <f>SUM(Чорн!Q8:Q12)-Чорн!I23-Чорн!J23</f>
        <v>3831.5</v>
      </c>
      <c r="E30" s="853"/>
      <c r="F30" s="382"/>
      <c r="G30" s="381">
        <f>Чорн!I23</f>
        <v>0</v>
      </c>
      <c r="H30" s="381">
        <f>Чорн!J23</f>
        <v>0</v>
      </c>
      <c r="I30" s="852">
        <f>D30+F30+G30+H30</f>
        <v>3831.5</v>
      </c>
      <c r="J30" s="852"/>
      <c r="K30" s="382"/>
      <c r="L30" s="381">
        <f>Чорн!S23</f>
        <v>350.15</v>
      </c>
      <c r="M30" s="381">
        <f>Чорн!T23</f>
        <v>233.72000000000003</v>
      </c>
      <c r="N30" s="381">
        <f>Чорн!U23</f>
        <v>0</v>
      </c>
      <c r="O30" s="381">
        <f>Чорн!V23</f>
        <v>0</v>
      </c>
      <c r="P30" s="381">
        <f>Чорн!W23</f>
        <v>38.32</v>
      </c>
      <c r="Q30" s="383">
        <f>SUM(K30:P30)</f>
        <v>622.19</v>
      </c>
      <c r="R30" s="848">
        <f>I30-Q30</f>
        <v>3209.31</v>
      </c>
      <c r="S30" s="849"/>
      <c r="T30" s="384">
        <f>Чорн!A39</f>
        <v>488.42</v>
      </c>
      <c r="U30" s="384">
        <f>Чорн!E39</f>
        <v>209.07</v>
      </c>
      <c r="V30" s="383">
        <f>Чорн!J39</f>
        <v>0</v>
      </c>
      <c r="W30" s="113"/>
    </row>
    <row r="31" spans="1:23" ht="12.75" customHeight="1">
      <c r="A31" s="854"/>
      <c r="B31" s="694"/>
      <c r="C31" s="112"/>
      <c r="D31" s="855"/>
      <c r="E31" s="856"/>
      <c r="F31" s="385"/>
      <c r="G31" s="385"/>
      <c r="H31" s="385"/>
      <c r="I31" s="857"/>
      <c r="J31" s="857"/>
      <c r="K31" s="385"/>
      <c r="L31" s="385"/>
      <c r="M31" s="385"/>
      <c r="N31" s="385"/>
      <c r="O31" s="385"/>
      <c r="P31" s="385"/>
      <c r="Q31" s="386"/>
      <c r="R31" s="846"/>
      <c r="S31" s="847"/>
      <c r="T31" s="387"/>
      <c r="U31" s="386"/>
      <c r="V31" s="386"/>
      <c r="W31" s="113"/>
    </row>
    <row r="32" spans="1:23" ht="12.75" customHeight="1">
      <c r="A32" s="854"/>
      <c r="B32" s="694"/>
      <c r="C32" s="112"/>
      <c r="D32" s="855"/>
      <c r="E32" s="856"/>
      <c r="F32" s="385"/>
      <c r="G32" s="385"/>
      <c r="H32" s="385"/>
      <c r="I32" s="857"/>
      <c r="J32" s="857"/>
      <c r="K32" s="385"/>
      <c r="L32" s="385"/>
      <c r="M32" s="385"/>
      <c r="N32" s="385"/>
      <c r="O32" s="385"/>
      <c r="P32" s="385"/>
      <c r="Q32" s="386"/>
      <c r="R32" s="846"/>
      <c r="S32" s="847"/>
      <c r="T32" s="387"/>
      <c r="U32" s="386"/>
      <c r="V32" s="386"/>
      <c r="W32" s="113"/>
    </row>
    <row r="33" spans="1:23" ht="12.75" customHeight="1">
      <c r="A33" s="854"/>
      <c r="B33" s="694"/>
      <c r="C33" s="112"/>
      <c r="D33" s="855"/>
      <c r="E33" s="856"/>
      <c r="F33" s="385"/>
      <c r="G33" s="385"/>
      <c r="H33" s="385"/>
      <c r="I33" s="857"/>
      <c r="J33" s="857"/>
      <c r="K33" s="385"/>
      <c r="L33" s="385"/>
      <c r="M33" s="385"/>
      <c r="N33" s="385"/>
      <c r="O33" s="385"/>
      <c r="P33" s="385"/>
      <c r="Q33" s="386"/>
      <c r="R33" s="846"/>
      <c r="S33" s="847"/>
      <c r="T33" s="387"/>
      <c r="U33" s="386"/>
      <c r="V33" s="386"/>
      <c r="W33" s="113"/>
    </row>
    <row r="34" spans="1:23" ht="12.75" customHeight="1">
      <c r="A34" s="854"/>
      <c r="B34" s="694"/>
      <c r="C34" s="112"/>
      <c r="D34" s="855"/>
      <c r="E34" s="856"/>
      <c r="F34" s="385"/>
      <c r="G34" s="385"/>
      <c r="H34" s="385"/>
      <c r="I34" s="857"/>
      <c r="J34" s="857"/>
      <c r="K34" s="385"/>
      <c r="L34" s="385"/>
      <c r="M34" s="385"/>
      <c r="N34" s="385"/>
      <c r="O34" s="385"/>
      <c r="P34" s="385"/>
      <c r="Q34" s="386"/>
      <c r="R34" s="846"/>
      <c r="S34" s="847"/>
      <c r="T34" s="387"/>
      <c r="U34" s="386"/>
      <c r="V34" s="386"/>
      <c r="W34" s="113"/>
    </row>
    <row r="35" spans="1:23" ht="12.75" customHeight="1">
      <c r="A35" s="854"/>
      <c r="B35" s="694"/>
      <c r="C35" s="112"/>
      <c r="D35" s="855"/>
      <c r="E35" s="856"/>
      <c r="F35" s="385"/>
      <c r="G35" s="385"/>
      <c r="H35" s="385"/>
      <c r="I35" s="857"/>
      <c r="J35" s="857"/>
      <c r="K35" s="385"/>
      <c r="L35" s="385"/>
      <c r="M35" s="385"/>
      <c r="N35" s="385"/>
      <c r="O35" s="385"/>
      <c r="P35" s="385"/>
      <c r="Q35" s="386"/>
      <c r="R35" s="846"/>
      <c r="S35" s="847"/>
      <c r="T35" s="387"/>
      <c r="U35" s="386"/>
      <c r="V35" s="386"/>
      <c r="W35" s="113"/>
    </row>
    <row r="36" spans="1:23" ht="12.75" customHeight="1">
      <c r="A36" s="854"/>
      <c r="B36" s="694"/>
      <c r="C36" s="112"/>
      <c r="D36" s="855"/>
      <c r="E36" s="856"/>
      <c r="F36" s="385"/>
      <c r="G36" s="385"/>
      <c r="H36" s="385"/>
      <c r="I36" s="857"/>
      <c r="J36" s="857"/>
      <c r="K36" s="385"/>
      <c r="L36" s="385"/>
      <c r="M36" s="385"/>
      <c r="N36" s="385"/>
      <c r="O36" s="385"/>
      <c r="P36" s="385"/>
      <c r="Q36" s="386"/>
      <c r="R36" s="846"/>
      <c r="S36" s="847"/>
      <c r="T36" s="387"/>
      <c r="U36" s="386"/>
      <c r="V36" s="386"/>
      <c r="W36" s="113"/>
    </row>
    <row r="37" spans="1:23" ht="12.75" customHeight="1">
      <c r="A37" s="854"/>
      <c r="B37" s="694"/>
      <c r="C37" s="112"/>
      <c r="D37" s="855"/>
      <c r="E37" s="856"/>
      <c r="F37" s="385"/>
      <c r="G37" s="385"/>
      <c r="H37" s="385"/>
      <c r="I37" s="857"/>
      <c r="J37" s="857"/>
      <c r="K37" s="385"/>
      <c r="L37" s="385"/>
      <c r="M37" s="385"/>
      <c r="N37" s="385"/>
      <c r="O37" s="385"/>
      <c r="P37" s="385"/>
      <c r="Q37" s="386"/>
      <c r="R37" s="846"/>
      <c r="S37" s="847"/>
      <c r="T37" s="387"/>
      <c r="U37" s="386"/>
      <c r="V37" s="386"/>
      <c r="W37" s="113"/>
    </row>
    <row r="38" spans="1:23" ht="12.75" customHeight="1">
      <c r="A38" s="854"/>
      <c r="B38" s="694"/>
      <c r="C38" s="112"/>
      <c r="D38" s="855"/>
      <c r="E38" s="856"/>
      <c r="F38" s="385"/>
      <c r="G38" s="385"/>
      <c r="H38" s="385"/>
      <c r="I38" s="857"/>
      <c r="J38" s="857"/>
      <c r="K38" s="385"/>
      <c r="L38" s="385"/>
      <c r="M38" s="385"/>
      <c r="N38" s="385"/>
      <c r="O38" s="385"/>
      <c r="P38" s="385"/>
      <c r="Q38" s="386"/>
      <c r="R38" s="846"/>
      <c r="S38" s="847"/>
      <c r="T38" s="387"/>
      <c r="U38" s="386"/>
      <c r="V38" s="386"/>
      <c r="W38" s="113"/>
    </row>
    <row r="39" spans="1:23" ht="12.75" customHeight="1">
      <c r="A39" s="854"/>
      <c r="B39" s="694"/>
      <c r="C39" s="112"/>
      <c r="D39" s="855"/>
      <c r="E39" s="856"/>
      <c r="F39" s="385"/>
      <c r="G39" s="385"/>
      <c r="H39" s="385"/>
      <c r="I39" s="857"/>
      <c r="J39" s="857"/>
      <c r="K39" s="385"/>
      <c r="L39" s="385"/>
      <c r="M39" s="385"/>
      <c r="N39" s="385"/>
      <c r="O39" s="385"/>
      <c r="P39" s="385"/>
      <c r="Q39" s="386"/>
      <c r="R39" s="846"/>
      <c r="S39" s="847"/>
      <c r="T39" s="387"/>
      <c r="U39" s="386"/>
      <c r="V39" s="386"/>
      <c r="W39" s="113"/>
    </row>
    <row r="40" spans="1:23" ht="12.75" customHeight="1">
      <c r="A40" s="854"/>
      <c r="B40" s="694"/>
      <c r="C40" s="112"/>
      <c r="D40" s="855"/>
      <c r="E40" s="856"/>
      <c r="F40" s="385"/>
      <c r="G40" s="385"/>
      <c r="H40" s="385"/>
      <c r="I40" s="857"/>
      <c r="J40" s="857"/>
      <c r="K40" s="385"/>
      <c r="L40" s="385"/>
      <c r="M40" s="385"/>
      <c r="N40" s="385"/>
      <c r="O40" s="385"/>
      <c r="P40" s="385"/>
      <c r="Q40" s="386"/>
      <c r="R40" s="846"/>
      <c r="S40" s="847"/>
      <c r="T40" s="387"/>
      <c r="U40" s="386"/>
      <c r="V40" s="386"/>
      <c r="W40" s="113"/>
    </row>
    <row r="41" spans="1:23" ht="12.75" customHeight="1">
      <c r="A41" s="854"/>
      <c r="B41" s="694"/>
      <c r="C41" s="112"/>
      <c r="D41" s="855"/>
      <c r="E41" s="856"/>
      <c r="F41" s="385"/>
      <c r="G41" s="385"/>
      <c r="H41" s="385"/>
      <c r="I41" s="857"/>
      <c r="J41" s="857"/>
      <c r="K41" s="385"/>
      <c r="L41" s="385"/>
      <c r="M41" s="385"/>
      <c r="N41" s="385"/>
      <c r="O41" s="385"/>
      <c r="P41" s="385"/>
      <c r="Q41" s="386"/>
      <c r="R41" s="846"/>
      <c r="S41" s="847"/>
      <c r="T41" s="387"/>
      <c r="U41" s="386"/>
      <c r="V41" s="386"/>
      <c r="W41" s="113"/>
    </row>
    <row r="42" spans="1:23" ht="12.75" customHeight="1">
      <c r="A42" s="854"/>
      <c r="B42" s="694"/>
      <c r="C42" s="112"/>
      <c r="D42" s="855"/>
      <c r="E42" s="856"/>
      <c r="F42" s="385"/>
      <c r="G42" s="385"/>
      <c r="H42" s="385"/>
      <c r="I42" s="857"/>
      <c r="J42" s="857"/>
      <c r="K42" s="385"/>
      <c r="L42" s="385"/>
      <c r="M42" s="385"/>
      <c r="N42" s="385"/>
      <c r="O42" s="385"/>
      <c r="P42" s="385"/>
      <c r="Q42" s="386"/>
      <c r="R42" s="846"/>
      <c r="S42" s="847"/>
      <c r="T42" s="387"/>
      <c r="U42" s="386"/>
      <c r="V42" s="386"/>
      <c r="W42" s="113"/>
    </row>
    <row r="43" spans="1:23" ht="15.75">
      <c r="A43" s="854" t="s">
        <v>147</v>
      </c>
      <c r="B43" s="854"/>
      <c r="C43" s="854"/>
      <c r="D43" s="852">
        <f>SUM(D30:E42)</f>
        <v>3831.5</v>
      </c>
      <c r="E43" s="853"/>
      <c r="F43" s="383">
        <f aca="true" t="shared" si="0" ref="F43:W43">SUM(F30:F42)</f>
        <v>0</v>
      </c>
      <c r="G43" s="383">
        <f>SUM(G30:G42)</f>
        <v>0</v>
      </c>
      <c r="H43" s="383">
        <f>SUM(H30:H42)</f>
        <v>0</v>
      </c>
      <c r="I43" s="859">
        <f>SUM(I30:J42)</f>
        <v>3831.5</v>
      </c>
      <c r="J43" s="860"/>
      <c r="K43" s="383">
        <f t="shared" si="0"/>
        <v>0</v>
      </c>
      <c r="L43" s="383">
        <f t="shared" si="0"/>
        <v>350.15</v>
      </c>
      <c r="M43" s="383">
        <f t="shared" si="0"/>
        <v>233.72000000000003</v>
      </c>
      <c r="N43" s="383">
        <f t="shared" si="0"/>
        <v>0</v>
      </c>
      <c r="O43" s="383">
        <f t="shared" si="0"/>
        <v>0</v>
      </c>
      <c r="P43" s="383">
        <f t="shared" si="0"/>
        <v>38.32</v>
      </c>
      <c r="Q43" s="383">
        <f t="shared" si="0"/>
        <v>622.19</v>
      </c>
      <c r="R43" s="848">
        <f>SUM(R30:S42)</f>
        <v>3209.31</v>
      </c>
      <c r="S43" s="858"/>
      <c r="T43" s="384">
        <f t="shared" si="0"/>
        <v>488.42</v>
      </c>
      <c r="U43" s="383">
        <f t="shared" si="0"/>
        <v>209.07</v>
      </c>
      <c r="V43" s="383">
        <f t="shared" si="0"/>
        <v>0</v>
      </c>
      <c r="W43" s="95">
        <f t="shared" si="0"/>
        <v>0</v>
      </c>
    </row>
  </sheetData>
  <sheetProtection sheet="1" selectLockedCells="1"/>
  <mergeCells count="150">
    <mergeCell ref="O27:O29"/>
    <mergeCell ref="A24:D24"/>
    <mergeCell ref="H24:K24"/>
    <mergeCell ref="A26:B29"/>
    <mergeCell ref="C26:C29"/>
    <mergeCell ref="F27:F29"/>
    <mergeCell ref="K27:K29"/>
    <mergeCell ref="K26:Q26"/>
    <mergeCell ref="A43:C43"/>
    <mergeCell ref="D43:E43"/>
    <mergeCell ref="I43:J43"/>
    <mergeCell ref="A41:B41"/>
    <mergeCell ref="D41:E41"/>
    <mergeCell ref="I41:J41"/>
    <mergeCell ref="A39:B39"/>
    <mergeCell ref="D39:E39"/>
    <mergeCell ref="R43:S43"/>
    <mergeCell ref="A42:B42"/>
    <mergeCell ref="D42:E42"/>
    <mergeCell ref="I42:J42"/>
    <mergeCell ref="R42:S42"/>
    <mergeCell ref="R41:S41"/>
    <mergeCell ref="A40:B40"/>
    <mergeCell ref="D40:E40"/>
    <mergeCell ref="I40:J40"/>
    <mergeCell ref="R40:S40"/>
    <mergeCell ref="I39:J39"/>
    <mergeCell ref="R39:S39"/>
    <mergeCell ref="A38:B38"/>
    <mergeCell ref="D38:E38"/>
    <mergeCell ref="I38:J38"/>
    <mergeCell ref="R38:S38"/>
    <mergeCell ref="A37:B37"/>
    <mergeCell ref="D37:E37"/>
    <mergeCell ref="I37:J37"/>
    <mergeCell ref="R37:S37"/>
    <mergeCell ref="A36:B36"/>
    <mergeCell ref="D36:E36"/>
    <mergeCell ref="I36:J36"/>
    <mergeCell ref="R36:S36"/>
    <mergeCell ref="A35:B35"/>
    <mergeCell ref="D35:E35"/>
    <mergeCell ref="I35:J35"/>
    <mergeCell ref="R35:S35"/>
    <mergeCell ref="A34:B34"/>
    <mergeCell ref="D34:E34"/>
    <mergeCell ref="I34:J34"/>
    <mergeCell ref="R34:S34"/>
    <mergeCell ref="R32:S32"/>
    <mergeCell ref="A33:B33"/>
    <mergeCell ref="D33:E33"/>
    <mergeCell ref="I33:J33"/>
    <mergeCell ref="R33:S33"/>
    <mergeCell ref="A30:B30"/>
    <mergeCell ref="D30:E30"/>
    <mergeCell ref="I30:J30"/>
    <mergeCell ref="A32:B32"/>
    <mergeCell ref="D32:E32"/>
    <mergeCell ref="I32:J32"/>
    <mergeCell ref="A31:B31"/>
    <mergeCell ref="D31:E31"/>
    <mergeCell ref="I31:J31"/>
    <mergeCell ref="R31:S31"/>
    <mergeCell ref="R30:S30"/>
    <mergeCell ref="Q27:Q29"/>
    <mergeCell ref="T27:T29"/>
    <mergeCell ref="I26:J29"/>
    <mergeCell ref="D26:H26"/>
    <mergeCell ref="G27:H27"/>
    <mergeCell ref="G28:G29"/>
    <mergeCell ref="H28:H29"/>
    <mergeCell ref="D27:E29"/>
    <mergeCell ref="R24:U24"/>
    <mergeCell ref="L27:L29"/>
    <mergeCell ref="P27:P29"/>
    <mergeCell ref="M27:M29"/>
    <mergeCell ref="R26:S29"/>
    <mergeCell ref="T26:W26"/>
    <mergeCell ref="U27:U29"/>
    <mergeCell ref="V27:V29"/>
    <mergeCell ref="W27:W29"/>
    <mergeCell ref="N27:N29"/>
    <mergeCell ref="B21:N21"/>
    <mergeCell ref="O21:T21"/>
    <mergeCell ref="U21:W21"/>
    <mergeCell ref="M22:R22"/>
    <mergeCell ref="S22:W22"/>
    <mergeCell ref="B20:N20"/>
    <mergeCell ref="O20:Q20"/>
    <mergeCell ref="R20:T20"/>
    <mergeCell ref="U20:W20"/>
    <mergeCell ref="B19:N19"/>
    <mergeCell ref="O19:Q19"/>
    <mergeCell ref="R19:T19"/>
    <mergeCell ref="U19:W19"/>
    <mergeCell ref="B18:N18"/>
    <mergeCell ref="O18:Q18"/>
    <mergeCell ref="R18:T18"/>
    <mergeCell ref="U18:W18"/>
    <mergeCell ref="B17:N17"/>
    <mergeCell ref="O17:Q17"/>
    <mergeCell ref="R17:T17"/>
    <mergeCell ref="U17:W17"/>
    <mergeCell ref="B16:N16"/>
    <mergeCell ref="O16:Q16"/>
    <mergeCell ref="R16:T16"/>
    <mergeCell ref="U16:W16"/>
    <mergeCell ref="B15:N15"/>
    <mergeCell ref="O15:Q15"/>
    <mergeCell ref="R15:T15"/>
    <mergeCell ref="U15:W15"/>
    <mergeCell ref="B14:N14"/>
    <mergeCell ref="O14:Q14"/>
    <mergeCell ref="R14:T14"/>
    <mergeCell ref="U14:W14"/>
    <mergeCell ref="B13:N13"/>
    <mergeCell ref="O13:Q13"/>
    <mergeCell ref="R13:T13"/>
    <mergeCell ref="U13:W13"/>
    <mergeCell ref="B12:N12"/>
    <mergeCell ref="O12:Q12"/>
    <mergeCell ref="R12:T12"/>
    <mergeCell ref="U12:W12"/>
    <mergeCell ref="B11:N11"/>
    <mergeCell ref="O11:Q11"/>
    <mergeCell ref="R11:T11"/>
    <mergeCell ref="U11:W11"/>
    <mergeCell ref="B10:N10"/>
    <mergeCell ref="O10:Q10"/>
    <mergeCell ref="R10:T10"/>
    <mergeCell ref="U10:W10"/>
    <mergeCell ref="B9:N9"/>
    <mergeCell ref="O9:Q9"/>
    <mergeCell ref="R9:T9"/>
    <mergeCell ref="U9:W9"/>
    <mergeCell ref="B8:N8"/>
    <mergeCell ref="O8:Q8"/>
    <mergeCell ref="R8:T8"/>
    <mergeCell ref="U8:W8"/>
    <mergeCell ref="B7:N7"/>
    <mergeCell ref="O7:Q7"/>
    <mergeCell ref="R7:T7"/>
    <mergeCell ref="U7:W7"/>
    <mergeCell ref="A2:B2"/>
    <mergeCell ref="N2:P2"/>
    <mergeCell ref="G4:V4"/>
    <mergeCell ref="B6:N6"/>
    <mergeCell ref="O6:Q6"/>
    <mergeCell ref="R6:T6"/>
    <mergeCell ref="U6:W6"/>
  </mergeCells>
  <printOptions/>
  <pageMargins left="0.31496062992125984" right="0.1968503937007874" top="0.984251968503937" bottom="0.3937007874015748" header="0" footer="0"/>
  <pageSetup horizontalDpi="600" verticalDpi="600" orientation="landscape" paperSize="9" r:id="rId1"/>
  <ignoredErrors>
    <ignoredError sqref="V2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2"/>
  <dimension ref="A1:R133"/>
  <sheetViews>
    <sheetView tabSelected="1" zoomScale="83" zoomScaleNormal="83" workbookViewId="0" topLeftCell="A58">
      <selection activeCell="N109" sqref="N109:O109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15.7109375" style="0" customWidth="1"/>
    <col min="4" max="4" width="5.57421875" style="0" customWidth="1"/>
    <col min="5" max="5" width="12.7109375" style="0" customWidth="1"/>
    <col min="6" max="6" width="6.7109375" style="21" customWidth="1"/>
    <col min="7" max="7" width="6.7109375" style="0" customWidth="1"/>
    <col min="8" max="8" width="10.7109375" style="0" customWidth="1"/>
    <col min="9" max="9" width="15.7109375" style="0" customWidth="1"/>
    <col min="10" max="10" width="5.57421875" style="0" customWidth="1"/>
    <col min="11" max="11" width="12.7109375" style="0" customWidth="1"/>
    <col min="12" max="13" width="6.7109375" style="0" customWidth="1"/>
    <col min="14" max="14" width="10.7109375" style="0" customWidth="1"/>
    <col min="15" max="15" width="15.7109375" style="0" customWidth="1"/>
    <col min="16" max="16" width="5.57421875" style="0" customWidth="1"/>
    <col min="17" max="17" width="12.7109375" style="0" customWidth="1"/>
    <col min="18" max="18" width="4.7109375" style="0" customWidth="1"/>
    <col min="19" max="34" width="5.7109375" style="0" customWidth="1"/>
  </cols>
  <sheetData>
    <row r="1" spans="1:18" ht="12" customHeight="1">
      <c r="A1" s="21"/>
      <c r="B1" s="765" t="s">
        <v>352</v>
      </c>
      <c r="C1" s="765"/>
      <c r="D1" s="887" t="str">
        <f>Чорн!$M$3</f>
        <v>березень</v>
      </c>
      <c r="E1" s="887"/>
      <c r="F1" s="136"/>
      <c r="G1" s="21"/>
      <c r="H1" s="765" t="s">
        <v>352</v>
      </c>
      <c r="I1" s="765"/>
      <c r="J1" s="887" t="str">
        <f>Чорн!$M$3</f>
        <v>березень</v>
      </c>
      <c r="K1" s="887"/>
      <c r="L1" s="136"/>
      <c r="M1" s="219"/>
      <c r="N1" s="765" t="s">
        <v>352</v>
      </c>
      <c r="O1" s="765"/>
      <c r="P1" s="887" t="str">
        <f>Чорн!$M$3</f>
        <v>березень</v>
      </c>
      <c r="Q1" s="887"/>
      <c r="R1" s="21"/>
    </row>
    <row r="2" spans="1:18" ht="12" customHeight="1">
      <c r="A2" s="21"/>
      <c r="B2" s="901">
        <f>Чорн!$C$8</f>
        <v>0</v>
      </c>
      <c r="C2" s="902"/>
      <c r="D2" s="882" t="s">
        <v>3</v>
      </c>
      <c r="E2" s="883"/>
      <c r="F2" s="410"/>
      <c r="G2" s="21"/>
      <c r="H2" s="901">
        <f>Чорн!$C$9</f>
        <v>0</v>
      </c>
      <c r="I2" s="902"/>
      <c r="J2" s="882" t="s">
        <v>3</v>
      </c>
      <c r="K2" s="883"/>
      <c r="L2" s="410"/>
      <c r="M2" s="219"/>
      <c r="N2" s="901">
        <f>Чорн!$C$10</f>
        <v>0</v>
      </c>
      <c r="O2" s="902"/>
      <c r="P2" s="882" t="s">
        <v>3</v>
      </c>
      <c r="Q2" s="883"/>
      <c r="R2" s="21"/>
    </row>
    <row r="3" spans="1:18" ht="12" customHeight="1">
      <c r="A3" s="21"/>
      <c r="B3" s="884" t="str">
        <f>Чорн!$E$6</f>
        <v>посадовий оклад</v>
      </c>
      <c r="C3" s="885"/>
      <c r="D3" s="885"/>
      <c r="E3" s="408">
        <f>Чорн!$E$8</f>
        <v>2328</v>
      </c>
      <c r="F3" s="410"/>
      <c r="G3" s="21"/>
      <c r="H3" s="884" t="str">
        <f>Чорн!$E$6</f>
        <v>посадовий оклад</v>
      </c>
      <c r="I3" s="885"/>
      <c r="J3" s="885"/>
      <c r="K3" s="408">
        <f>Чорн!$E$9</f>
        <v>0</v>
      </c>
      <c r="L3" s="410"/>
      <c r="M3" s="219"/>
      <c r="N3" s="884" t="str">
        <f>Чорн!$E$6</f>
        <v>посадовий оклад</v>
      </c>
      <c r="O3" s="885"/>
      <c r="P3" s="885"/>
      <c r="Q3" s="408">
        <f>Чорн!$E$10</f>
        <v>0</v>
      </c>
      <c r="R3" s="21"/>
    </row>
    <row r="4" spans="1:18" ht="12" customHeight="1">
      <c r="A4" s="21"/>
      <c r="B4" s="874" t="str">
        <f>Чорн!$F$6</f>
        <v>доплата за ранг</v>
      </c>
      <c r="C4" s="881"/>
      <c r="D4" s="881"/>
      <c r="E4" s="405">
        <f>Чорн!$F$8</f>
        <v>90</v>
      </c>
      <c r="F4" s="410"/>
      <c r="G4" s="21"/>
      <c r="H4" s="874" t="str">
        <f>Чорн!$F$6</f>
        <v>доплата за ранг</v>
      </c>
      <c r="I4" s="881"/>
      <c r="J4" s="881"/>
      <c r="K4" s="405">
        <f>Чорн!$F$9</f>
        <v>0</v>
      </c>
      <c r="L4" s="410"/>
      <c r="M4" s="219"/>
      <c r="N4" s="874" t="str">
        <f>Чорн!$F$6</f>
        <v>доплата за ранг</v>
      </c>
      <c r="O4" s="881"/>
      <c r="P4" s="881"/>
      <c r="Q4" s="405">
        <f>Чорн!$F$10</f>
        <v>0</v>
      </c>
      <c r="R4" s="21"/>
    </row>
    <row r="5" spans="1:18" ht="12" customHeight="1">
      <c r="A5" s="21"/>
      <c r="B5" s="874" t="str">
        <f>Чорн!$G$6</f>
        <v>надбавка за вислугу років </v>
      </c>
      <c r="C5" s="881"/>
      <c r="D5" s="881"/>
      <c r="E5" s="405">
        <f>Чорн!$G$8</f>
        <v>0</v>
      </c>
      <c r="F5" s="410"/>
      <c r="G5" s="21"/>
      <c r="H5" s="874" t="str">
        <f>Чорн!$G$6</f>
        <v>надбавка за вислугу років </v>
      </c>
      <c r="I5" s="881"/>
      <c r="J5" s="881"/>
      <c r="K5" s="405">
        <f>Чорн!$G$9</f>
        <v>0</v>
      </c>
      <c r="L5" s="410"/>
      <c r="M5" s="219"/>
      <c r="N5" s="874" t="str">
        <f>Чорн!$G$6</f>
        <v>надбавка за вислугу років </v>
      </c>
      <c r="O5" s="881"/>
      <c r="P5" s="881"/>
      <c r="Q5" s="405">
        <f>Чорн!$G$10</f>
        <v>0</v>
      </c>
      <c r="R5" s="21"/>
    </row>
    <row r="6" spans="1:18" ht="12" customHeight="1">
      <c r="A6" s="21"/>
      <c r="B6" s="874">
        <f>Чорн!$H$6</f>
        <v>0</v>
      </c>
      <c r="C6" s="881"/>
      <c r="D6" s="881"/>
      <c r="E6" s="405">
        <f>Чорн!$H$8</f>
        <v>0</v>
      </c>
      <c r="F6" s="410"/>
      <c r="G6" s="21"/>
      <c r="H6" s="874">
        <f>Чорн!$H$6</f>
        <v>0</v>
      </c>
      <c r="I6" s="881"/>
      <c r="J6" s="881"/>
      <c r="K6" s="405">
        <f>Чорн!$H$9</f>
        <v>0</v>
      </c>
      <c r="L6" s="410"/>
      <c r="M6" s="219"/>
      <c r="N6" s="874">
        <f>Чорн!$H$6</f>
        <v>0</v>
      </c>
      <c r="O6" s="881"/>
      <c r="P6" s="881"/>
      <c r="Q6" s="405">
        <f>Чорн!$H$10</f>
        <v>0</v>
      </c>
      <c r="R6" s="21"/>
    </row>
    <row r="7" spans="1:18" ht="12" customHeight="1">
      <c r="A7" s="21"/>
      <c r="B7" s="874" t="str">
        <f>Чорн!$I$6</f>
        <v>лист непрацезд.</v>
      </c>
      <c r="C7" s="881"/>
      <c r="D7" s="881"/>
      <c r="E7" s="405">
        <f>SUM(Чорн!$I$8:$J$8)</f>
        <v>0</v>
      </c>
      <c r="F7" s="410"/>
      <c r="G7" s="21"/>
      <c r="H7" s="874" t="str">
        <f>Чорн!$I$6</f>
        <v>лист непрацезд.</v>
      </c>
      <c r="I7" s="881"/>
      <c r="J7" s="881"/>
      <c r="K7" s="405">
        <f>SUM(Чорн!$I$9:$J$9)</f>
        <v>0</v>
      </c>
      <c r="L7" s="410"/>
      <c r="M7" s="219"/>
      <c r="N7" s="874" t="str">
        <f>Чорн!$I$6</f>
        <v>лист непрацезд.</v>
      </c>
      <c r="O7" s="881"/>
      <c r="P7" s="881"/>
      <c r="Q7" s="405">
        <f>SUM(Чорн!$I$10:$J$10)</f>
        <v>0</v>
      </c>
      <c r="R7" s="21"/>
    </row>
    <row r="8" spans="1:18" ht="12" customHeight="1">
      <c r="A8" s="21"/>
      <c r="B8" s="874" t="str">
        <f>Чорн!$K$6</f>
        <v>відпускні</v>
      </c>
      <c r="C8" s="872"/>
      <c r="D8" s="872"/>
      <c r="E8" s="405">
        <f>Чорн!$K$8</f>
        <v>0</v>
      </c>
      <c r="F8" s="410"/>
      <c r="G8" s="21"/>
      <c r="H8" s="874" t="str">
        <f>Чорн!$K$6</f>
        <v>відпускні</v>
      </c>
      <c r="I8" s="872"/>
      <c r="J8" s="872"/>
      <c r="K8" s="405">
        <f>Чорн!$K$9</f>
        <v>0</v>
      </c>
      <c r="L8" s="410"/>
      <c r="M8" s="219"/>
      <c r="N8" s="874" t="str">
        <f>Чорн!$K$6</f>
        <v>відпускні</v>
      </c>
      <c r="O8" s="872"/>
      <c r="P8" s="872"/>
      <c r="Q8" s="405">
        <f>Чорн!$K$10</f>
        <v>0</v>
      </c>
      <c r="R8" s="21"/>
    </row>
    <row r="9" spans="1:18" ht="12" customHeight="1">
      <c r="A9" s="21"/>
      <c r="B9" s="874" t="str">
        <f>Чорн!$L$6</f>
        <v>індексація за      03 місяць</v>
      </c>
      <c r="C9" s="872"/>
      <c r="D9" s="872"/>
      <c r="E9" s="405">
        <f>Чорн!$L$8</f>
        <v>68</v>
      </c>
      <c r="F9" s="410"/>
      <c r="G9" s="21"/>
      <c r="H9" s="874" t="str">
        <f>Чорн!$L$6</f>
        <v>індексація за      03 місяць</v>
      </c>
      <c r="I9" s="872"/>
      <c r="J9" s="872"/>
      <c r="K9" s="405">
        <f>Чорн!$L$9</f>
        <v>119.71</v>
      </c>
      <c r="L9" s="410"/>
      <c r="M9" s="219"/>
      <c r="N9" s="874" t="str">
        <f>Чорн!$L$6</f>
        <v>індексація за      03 місяць</v>
      </c>
      <c r="O9" s="872"/>
      <c r="P9" s="872"/>
      <c r="Q9" s="405">
        <f>Чорн!$L$10</f>
        <v>575.79</v>
      </c>
      <c r="R9" s="21"/>
    </row>
    <row r="10" spans="1:18" ht="12" customHeight="1">
      <c r="A10" s="21"/>
      <c r="B10" s="874" t="str">
        <f>Чорн!$M$6</f>
        <v>допомога на оздоровлення</v>
      </c>
      <c r="C10" s="872"/>
      <c r="D10" s="872"/>
      <c r="E10" s="405">
        <f>Чорн!$M$8</f>
        <v>0</v>
      </c>
      <c r="F10" s="410"/>
      <c r="G10" s="21"/>
      <c r="H10" s="874" t="str">
        <f>Чорн!$M$6</f>
        <v>допомога на оздоровлення</v>
      </c>
      <c r="I10" s="872"/>
      <c r="J10" s="872"/>
      <c r="K10" s="405">
        <f>Чорн!$M$9</f>
        <v>0</v>
      </c>
      <c r="L10" s="410"/>
      <c r="M10" s="219"/>
      <c r="N10" s="874" t="str">
        <f>Чорн!$M$6</f>
        <v>допомога на оздоровлення</v>
      </c>
      <c r="O10" s="872"/>
      <c r="P10" s="872"/>
      <c r="Q10" s="405">
        <f>Чорн!$M$10</f>
        <v>0</v>
      </c>
      <c r="R10" s="21"/>
    </row>
    <row r="11" spans="1:18" ht="12" customHeight="1">
      <c r="A11" s="21"/>
      <c r="B11" s="874" t="str">
        <f>Чорн!$N$6</f>
        <v>мат. допомога на вирішення соц питань</v>
      </c>
      <c r="C11" s="872"/>
      <c r="D11" s="872"/>
      <c r="E11" s="405">
        <f>Чорн!$N$8</f>
        <v>0</v>
      </c>
      <c r="F11" s="410"/>
      <c r="G11" s="21"/>
      <c r="H11" s="874" t="str">
        <f>Чорн!$N$6</f>
        <v>мат. допомога на вирішення соц питань</v>
      </c>
      <c r="I11" s="872"/>
      <c r="J11" s="872"/>
      <c r="K11" s="405">
        <f>Чорн!$N$9</f>
        <v>0</v>
      </c>
      <c r="L11" s="410"/>
      <c r="M11" s="219"/>
      <c r="N11" s="874" t="str">
        <f>Чорн!$N$6</f>
        <v>мат. допомога на вирішення соц питань</v>
      </c>
      <c r="O11" s="872"/>
      <c r="P11" s="872"/>
      <c r="Q11" s="405">
        <f>Чорн!$N$10</f>
        <v>0</v>
      </c>
      <c r="R11" s="21"/>
    </row>
    <row r="12" spans="1:18" ht="12" customHeight="1">
      <c r="A12" s="21"/>
      <c r="B12" s="874" t="str">
        <f>Чорн!$O$6</f>
        <v>премія      за  02    місяць</v>
      </c>
      <c r="C12" s="872"/>
      <c r="D12" s="872"/>
      <c r="E12" s="405">
        <f>Чорн!$O$8</f>
        <v>0</v>
      </c>
      <c r="F12" s="410"/>
      <c r="G12" s="21"/>
      <c r="H12" s="874" t="str">
        <f>Чорн!$O$6</f>
        <v>премія      за  02    місяць</v>
      </c>
      <c r="I12" s="872"/>
      <c r="J12" s="872"/>
      <c r="K12" s="405">
        <f>Чорн!$O$9</f>
        <v>0</v>
      </c>
      <c r="L12" s="410"/>
      <c r="M12" s="219"/>
      <c r="N12" s="874" t="str">
        <f>Чорн!$O$6</f>
        <v>премія      за  02    місяць</v>
      </c>
      <c r="O12" s="872"/>
      <c r="P12" s="872"/>
      <c r="Q12" s="405">
        <f>Чорн!$O$10</f>
        <v>650</v>
      </c>
      <c r="R12" s="21"/>
    </row>
    <row r="13" spans="1:18" ht="12" customHeight="1">
      <c r="A13" s="21"/>
      <c r="B13" s="874">
        <f>Чорн!$P$6</f>
        <v>0</v>
      </c>
      <c r="C13" s="872"/>
      <c r="D13" s="872"/>
      <c r="E13" s="405">
        <f>Чорн!$P$8</f>
        <v>0</v>
      </c>
      <c r="F13" s="410"/>
      <c r="G13" s="21"/>
      <c r="H13" s="874">
        <f>Чорн!$P$6</f>
        <v>0</v>
      </c>
      <c r="I13" s="872"/>
      <c r="J13" s="872"/>
      <c r="K13" s="405">
        <f>Чорн!$P$9</f>
        <v>0</v>
      </c>
      <c r="L13" s="410"/>
      <c r="M13" s="219"/>
      <c r="N13" s="874">
        <f>Чорн!$P$6</f>
        <v>0</v>
      </c>
      <c r="O13" s="872"/>
      <c r="P13" s="872"/>
      <c r="Q13" s="405">
        <f>Чорн!$P$10</f>
        <v>0</v>
      </c>
      <c r="R13" s="21"/>
    </row>
    <row r="14" spans="1:18" ht="12" customHeight="1">
      <c r="A14" s="21"/>
      <c r="B14" s="876" t="s">
        <v>62</v>
      </c>
      <c r="C14" s="872"/>
      <c r="D14" s="872"/>
      <c r="E14" s="406">
        <f>Чорн!$Q$8</f>
        <v>2486</v>
      </c>
      <c r="F14" s="410"/>
      <c r="G14" s="21"/>
      <c r="H14" s="876" t="s">
        <v>62</v>
      </c>
      <c r="I14" s="872"/>
      <c r="J14" s="872"/>
      <c r="K14" s="406">
        <f>Чорн!$Q$9</f>
        <v>119.71</v>
      </c>
      <c r="L14" s="410"/>
      <c r="M14" s="219"/>
      <c r="N14" s="876" t="s">
        <v>62</v>
      </c>
      <c r="O14" s="872"/>
      <c r="P14" s="872"/>
      <c r="Q14" s="406">
        <f>Чорн!$Q$10</f>
        <v>1225.79</v>
      </c>
      <c r="R14" s="21"/>
    </row>
    <row r="15" spans="1:18" ht="12" customHeight="1">
      <c r="A15" s="21"/>
      <c r="B15" s="877"/>
      <c r="C15" s="878"/>
      <c r="D15" s="879" t="s">
        <v>5</v>
      </c>
      <c r="E15" s="880"/>
      <c r="F15" s="410"/>
      <c r="G15" s="21"/>
      <c r="H15" s="877"/>
      <c r="I15" s="878"/>
      <c r="J15" s="879" t="s">
        <v>5</v>
      </c>
      <c r="K15" s="880"/>
      <c r="L15" s="410"/>
      <c r="M15" s="219"/>
      <c r="N15" s="877"/>
      <c r="O15" s="878"/>
      <c r="P15" s="879" t="s">
        <v>5</v>
      </c>
      <c r="Q15" s="880"/>
      <c r="R15" s="21"/>
    </row>
    <row r="16" spans="1:18" ht="12" customHeight="1">
      <c r="A16" s="21"/>
      <c r="B16" s="874" t="str">
        <f>Чорн!$R$6</f>
        <v>за 1 половину місяця</v>
      </c>
      <c r="C16" s="872"/>
      <c r="D16" s="872"/>
      <c r="E16" s="217">
        <f>Чорн!$R$8</f>
        <v>0</v>
      </c>
      <c r="F16" s="411"/>
      <c r="G16" s="21"/>
      <c r="H16" s="874" t="str">
        <f>Чорн!$R$6</f>
        <v>за 1 половину місяця</v>
      </c>
      <c r="I16" s="872"/>
      <c r="J16" s="872"/>
      <c r="K16" s="217">
        <f>Чорн!$R$9</f>
        <v>0</v>
      </c>
      <c r="L16" s="411"/>
      <c r="M16" s="219"/>
      <c r="N16" s="874" t="str">
        <f>Чорн!$R$6</f>
        <v>за 1 половину місяця</v>
      </c>
      <c r="O16" s="872"/>
      <c r="P16" s="872"/>
      <c r="Q16" s="217">
        <f>Чорн!$R$10</f>
        <v>0</v>
      </c>
      <c r="R16" s="21"/>
    </row>
    <row r="17" spans="1:18" ht="12" customHeight="1">
      <c r="A17" s="21"/>
      <c r="B17" s="874" t="str">
        <f>Чорн!$S$6</f>
        <v>прибутковий            податок</v>
      </c>
      <c r="C17" s="872"/>
      <c r="D17" s="872"/>
      <c r="E17" s="217">
        <f>Чорн!$S$8</f>
        <v>350.15</v>
      </c>
      <c r="F17" s="410"/>
      <c r="G17" s="21"/>
      <c r="H17" s="874" t="str">
        <f>Чорн!$S$6</f>
        <v>прибутковий            податок</v>
      </c>
      <c r="I17" s="872"/>
      <c r="J17" s="872"/>
      <c r="K17" s="217">
        <f>Чорн!$S$9</f>
        <v>0</v>
      </c>
      <c r="L17" s="410"/>
      <c r="M17" s="219"/>
      <c r="N17" s="874" t="str">
        <f>Чорн!$S$6</f>
        <v>прибутковий            податок</v>
      </c>
      <c r="O17" s="872"/>
      <c r="P17" s="872"/>
      <c r="Q17" s="217">
        <f>Чорн!$S$10</f>
        <v>0</v>
      </c>
      <c r="R17" s="21"/>
    </row>
    <row r="18" spans="1:18" ht="12" customHeight="1">
      <c r="A18" s="21"/>
      <c r="B18" s="874" t="str">
        <f>Чорн!$T$6</f>
        <v>ЄСВ 6,1%</v>
      </c>
      <c r="C18" s="872"/>
      <c r="D18" s="872"/>
      <c r="E18" s="217">
        <f>Чорн!$T$8</f>
        <v>151.65</v>
      </c>
      <c r="F18" s="410"/>
      <c r="G18" s="21"/>
      <c r="H18" s="874" t="str">
        <f>Чорн!$T$6</f>
        <v>ЄСВ 6,1%</v>
      </c>
      <c r="I18" s="872"/>
      <c r="J18" s="872"/>
      <c r="K18" s="217">
        <f>Чорн!$T$9</f>
        <v>7.3</v>
      </c>
      <c r="L18" s="410"/>
      <c r="M18" s="219"/>
      <c r="N18" s="874" t="str">
        <f>Чорн!$T$6</f>
        <v>ЄСВ 6,1%</v>
      </c>
      <c r="O18" s="872"/>
      <c r="P18" s="872"/>
      <c r="Q18" s="217">
        <f>Чорн!$T$10</f>
        <v>74.77</v>
      </c>
      <c r="R18" s="21"/>
    </row>
    <row r="19" spans="1:18" ht="12" customHeight="1">
      <c r="A19" s="21"/>
      <c r="B19" s="874" t="str">
        <f>Чорн!$U$6</f>
        <v>ЄСВ 3,6%</v>
      </c>
      <c r="C19" s="872"/>
      <c r="D19" s="872"/>
      <c r="E19" s="217">
        <f>Чорн!$U$8</f>
        <v>0</v>
      </c>
      <c r="F19" s="410"/>
      <c r="G19" s="21"/>
      <c r="H19" s="874" t="str">
        <f>Чорн!$U$6</f>
        <v>ЄСВ 3,6%</v>
      </c>
      <c r="I19" s="872"/>
      <c r="J19" s="872"/>
      <c r="K19" s="217">
        <f>Чорн!$U$9</f>
        <v>0</v>
      </c>
      <c r="L19" s="410"/>
      <c r="M19" s="219"/>
      <c r="N19" s="874" t="str">
        <f>Чорн!$U$6</f>
        <v>ЄСВ 3,6%</v>
      </c>
      <c r="O19" s="872"/>
      <c r="P19" s="872"/>
      <c r="Q19" s="217">
        <f>Чорн!$U$10</f>
        <v>0</v>
      </c>
      <c r="R19" s="21"/>
    </row>
    <row r="20" spans="1:18" ht="12" customHeight="1">
      <c r="A20" s="21"/>
      <c r="B20" s="874" t="str">
        <f>Чорн!$V$6</f>
        <v>ЄСВ 2,0%</v>
      </c>
      <c r="C20" s="872"/>
      <c r="D20" s="872"/>
      <c r="E20" s="217">
        <f>Чорн!$V$8</f>
        <v>0</v>
      </c>
      <c r="F20" s="411"/>
      <c r="G20" s="21"/>
      <c r="H20" s="874" t="str">
        <f>Чорн!$V$6</f>
        <v>ЄСВ 2,0%</v>
      </c>
      <c r="I20" s="872"/>
      <c r="J20" s="872"/>
      <c r="K20" s="217">
        <f>Чорн!$V$9</f>
        <v>0</v>
      </c>
      <c r="L20" s="411"/>
      <c r="M20" s="219"/>
      <c r="N20" s="874" t="str">
        <f>Чорн!$V$6</f>
        <v>ЄСВ 2,0%</v>
      </c>
      <c r="O20" s="872"/>
      <c r="P20" s="872"/>
      <c r="Q20" s="217">
        <f>Чорн!$V$10</f>
        <v>0</v>
      </c>
      <c r="R20" s="21"/>
    </row>
    <row r="21" spans="1:18" ht="12" customHeight="1">
      <c r="A21" s="21"/>
      <c r="B21" s="874" t="str">
        <f>Чорн!$W$6</f>
        <v>профвнески</v>
      </c>
      <c r="C21" s="872"/>
      <c r="D21" s="872"/>
      <c r="E21" s="217">
        <f>Чорн!$W$8</f>
        <v>24.86</v>
      </c>
      <c r="F21" s="410"/>
      <c r="G21" s="21"/>
      <c r="H21" s="874" t="str">
        <f>Чорн!$W$6</f>
        <v>профвнески</v>
      </c>
      <c r="I21" s="872"/>
      <c r="J21" s="872"/>
      <c r="K21" s="217">
        <f>Чорн!$W$9</f>
        <v>1.2</v>
      </c>
      <c r="L21" s="410"/>
      <c r="M21" s="219"/>
      <c r="N21" s="874" t="str">
        <f>Чорн!$W$6</f>
        <v>профвнески</v>
      </c>
      <c r="O21" s="872"/>
      <c r="P21" s="872"/>
      <c r="Q21" s="217">
        <f>Чорн!$W$10</f>
        <v>12.26</v>
      </c>
      <c r="R21" s="21"/>
    </row>
    <row r="22" spans="1:18" ht="12" customHeight="1">
      <c r="A22" s="21"/>
      <c r="B22" s="874">
        <f>Чорн!$X$6</f>
        <v>0</v>
      </c>
      <c r="C22" s="872"/>
      <c r="D22" s="872"/>
      <c r="E22" s="217">
        <f>Чорн!$X$8</f>
        <v>0</v>
      </c>
      <c r="F22" s="410"/>
      <c r="G22" s="21"/>
      <c r="H22" s="874">
        <f>Чорн!$X$6</f>
        <v>0</v>
      </c>
      <c r="I22" s="872"/>
      <c r="J22" s="872"/>
      <c r="K22" s="217">
        <f>Чорн!$X$9</f>
        <v>0</v>
      </c>
      <c r="L22" s="410"/>
      <c r="M22" s="219"/>
      <c r="N22" s="874">
        <f>Чорн!$X$6</f>
        <v>0</v>
      </c>
      <c r="O22" s="872"/>
      <c r="P22" s="872"/>
      <c r="Q22" s="217">
        <f>Чорн!$X$10</f>
        <v>0</v>
      </c>
      <c r="R22" s="21"/>
    </row>
    <row r="23" spans="1:18" ht="12" customHeight="1">
      <c r="A23" s="21"/>
      <c r="B23" s="875" t="str">
        <f>Чорн!$Y$6</f>
        <v>всього утримано</v>
      </c>
      <c r="C23" s="872"/>
      <c r="D23" s="872"/>
      <c r="E23" s="218">
        <f>Чорн!$Y$8</f>
        <v>526.66</v>
      </c>
      <c r="F23" s="410"/>
      <c r="G23" s="21"/>
      <c r="H23" s="875" t="str">
        <f>Чорн!$Y$6</f>
        <v>всього утримано</v>
      </c>
      <c r="I23" s="872"/>
      <c r="J23" s="872"/>
      <c r="K23" s="218">
        <f>Чорн!$Y$9</f>
        <v>8.5</v>
      </c>
      <c r="L23" s="410"/>
      <c r="M23" s="219"/>
      <c r="N23" s="875" t="str">
        <f>Чорн!$Y$6</f>
        <v>всього утримано</v>
      </c>
      <c r="O23" s="872"/>
      <c r="P23" s="872"/>
      <c r="Q23" s="218">
        <f>Чорн!$Y$10</f>
        <v>87.03</v>
      </c>
      <c r="R23" s="21"/>
    </row>
    <row r="24" spans="1:18" ht="12" customHeight="1">
      <c r="A24" s="21"/>
      <c r="B24" s="871"/>
      <c r="C24" s="872"/>
      <c r="D24" s="872"/>
      <c r="E24" s="407"/>
      <c r="F24" s="410"/>
      <c r="G24" s="21"/>
      <c r="H24" s="871"/>
      <c r="I24" s="872"/>
      <c r="J24" s="872"/>
      <c r="K24" s="407"/>
      <c r="L24" s="410"/>
      <c r="M24" s="219"/>
      <c r="N24" s="871"/>
      <c r="O24" s="872"/>
      <c r="P24" s="872"/>
      <c r="Q24" s="407"/>
      <c r="R24" s="21"/>
    </row>
    <row r="25" spans="1:18" ht="12" customHeight="1">
      <c r="A25" s="21"/>
      <c r="B25" s="873" t="str">
        <f>Чорн!$Z$5</f>
        <v>Сума   до перерах- ня</v>
      </c>
      <c r="C25" s="765"/>
      <c r="D25" s="765"/>
      <c r="E25" s="218">
        <f>Чорн!$Z$8</f>
        <v>1959.3400000000001</v>
      </c>
      <c r="F25" s="410"/>
      <c r="G25" s="21"/>
      <c r="H25" s="873" t="str">
        <f>Чорн!$Z$5</f>
        <v>Сума   до перерах- ня</v>
      </c>
      <c r="I25" s="765"/>
      <c r="J25" s="765"/>
      <c r="K25" s="218">
        <f>Чорн!$Z$9</f>
        <v>111.21</v>
      </c>
      <c r="L25" s="410"/>
      <c r="M25" s="219"/>
      <c r="N25" s="873" t="str">
        <f>Чорн!$Z$5</f>
        <v>Сума   до перерах- ня</v>
      </c>
      <c r="O25" s="765"/>
      <c r="P25" s="765"/>
      <c r="Q25" s="218">
        <f>Чорн!$Z$10</f>
        <v>1138.76</v>
      </c>
      <c r="R25" s="21"/>
    </row>
    <row r="26" spans="1:18" ht="19.5" customHeight="1">
      <c r="A26" s="21"/>
      <c r="B26" s="61"/>
      <c r="C26" s="61"/>
      <c r="D26" s="61"/>
      <c r="E26" s="61"/>
      <c r="F26" s="412"/>
      <c r="G26" s="61"/>
      <c r="H26" s="61"/>
      <c r="I26" s="61"/>
      <c r="J26" s="61"/>
      <c r="K26" s="61"/>
      <c r="L26" s="412"/>
      <c r="M26" s="391"/>
      <c r="N26" s="61"/>
      <c r="O26" s="61"/>
      <c r="P26" s="61"/>
      <c r="Q26" s="61"/>
      <c r="R26" s="21"/>
    </row>
    <row r="27" spans="1:18" ht="19.5" customHeight="1">
      <c r="A27" s="21"/>
      <c r="B27" s="105"/>
      <c r="C27" s="886"/>
      <c r="D27" s="886"/>
      <c r="E27" s="21"/>
      <c r="G27" s="219"/>
      <c r="H27" s="105"/>
      <c r="I27" s="886"/>
      <c r="J27" s="886"/>
      <c r="K27" s="21"/>
      <c r="L27" s="21"/>
      <c r="M27" s="219"/>
      <c r="N27" s="105"/>
      <c r="O27" s="886"/>
      <c r="P27" s="886"/>
      <c r="Q27" s="21"/>
      <c r="R27" s="21"/>
    </row>
    <row r="28" spans="1:18" ht="12" customHeight="1">
      <c r="A28" s="21"/>
      <c r="B28" s="765" t="s">
        <v>352</v>
      </c>
      <c r="C28" s="765"/>
      <c r="D28" s="887" t="str">
        <f>Чорн!$M$3</f>
        <v>березень</v>
      </c>
      <c r="E28" s="887"/>
      <c r="G28" s="219"/>
      <c r="H28" s="765" t="s">
        <v>352</v>
      </c>
      <c r="I28" s="765"/>
      <c r="J28" s="887" t="str">
        <f>Чорн!$M$3</f>
        <v>березень</v>
      </c>
      <c r="K28" s="887"/>
      <c r="L28" s="21"/>
      <c r="M28" s="219"/>
      <c r="N28" s="765" t="s">
        <v>352</v>
      </c>
      <c r="O28" s="765"/>
      <c r="P28" s="887" t="str">
        <f>Чорн!$M$3</f>
        <v>березень</v>
      </c>
      <c r="Q28" s="887"/>
      <c r="R28" s="21"/>
    </row>
    <row r="29" spans="1:18" ht="12" customHeight="1">
      <c r="A29" s="21"/>
      <c r="B29" s="901">
        <f>Чорн!$C$11</f>
        <v>0</v>
      </c>
      <c r="C29" s="902"/>
      <c r="D29" s="882" t="s">
        <v>3</v>
      </c>
      <c r="E29" s="883"/>
      <c r="G29" s="219"/>
      <c r="H29" s="901">
        <f>Чорн!$C$12</f>
        <v>0</v>
      </c>
      <c r="I29" s="902"/>
      <c r="J29" s="882" t="s">
        <v>3</v>
      </c>
      <c r="K29" s="883"/>
      <c r="L29" s="21"/>
      <c r="M29" s="219"/>
      <c r="N29" s="901">
        <f>Чорн!$C$13</f>
        <v>0</v>
      </c>
      <c r="O29" s="902"/>
      <c r="P29" s="882" t="s">
        <v>3</v>
      </c>
      <c r="Q29" s="883"/>
      <c r="R29" s="21"/>
    </row>
    <row r="30" spans="1:18" ht="12" customHeight="1">
      <c r="A30" s="21"/>
      <c r="B30" s="884" t="str">
        <f>Чорн!$E$6</f>
        <v>посадовий оклад</v>
      </c>
      <c r="C30" s="885"/>
      <c r="D30" s="885"/>
      <c r="E30" s="408">
        <f>Чорн!$E$11</f>
        <v>0</v>
      </c>
      <c r="G30" s="219"/>
      <c r="H30" s="884" t="str">
        <f>Чорн!$E$6</f>
        <v>посадовий оклад</v>
      </c>
      <c r="I30" s="885"/>
      <c r="J30" s="885"/>
      <c r="K30" s="408">
        <f>Чорн!$E$12</f>
        <v>0</v>
      </c>
      <c r="L30" s="21"/>
      <c r="M30" s="219"/>
      <c r="N30" s="884" t="str">
        <f>Чорн!$E$6</f>
        <v>посадовий оклад</v>
      </c>
      <c r="O30" s="885"/>
      <c r="P30" s="885"/>
      <c r="Q30" s="408">
        <f>Чорн!$E$13</f>
        <v>0</v>
      </c>
      <c r="R30" s="21"/>
    </row>
    <row r="31" spans="1:18" ht="12" customHeight="1">
      <c r="A31" s="21"/>
      <c r="B31" s="874" t="str">
        <f>Чорн!$F$6</f>
        <v>доплата за ранг</v>
      </c>
      <c r="C31" s="881"/>
      <c r="D31" s="881"/>
      <c r="E31" s="405">
        <f>Чорн!$F$11</f>
        <v>0</v>
      </c>
      <c r="G31" s="219"/>
      <c r="H31" s="874" t="str">
        <f>Чорн!$F$6</f>
        <v>доплата за ранг</v>
      </c>
      <c r="I31" s="881"/>
      <c r="J31" s="881"/>
      <c r="K31" s="405">
        <f>Чорн!$F$12</f>
        <v>0</v>
      </c>
      <c r="L31" s="21"/>
      <c r="M31" s="219"/>
      <c r="N31" s="874" t="str">
        <f>Чорн!$F$6</f>
        <v>доплата за ранг</v>
      </c>
      <c r="O31" s="881"/>
      <c r="P31" s="881"/>
      <c r="Q31" s="405">
        <f>Чорн!$F$13</f>
        <v>0</v>
      </c>
      <c r="R31" s="21"/>
    </row>
    <row r="32" spans="1:18" ht="12" customHeight="1">
      <c r="A32" s="21"/>
      <c r="B32" s="874" t="str">
        <f>Чорн!$G$6</f>
        <v>надбавка за вислугу років </v>
      </c>
      <c r="C32" s="881"/>
      <c r="D32" s="881"/>
      <c r="E32" s="405">
        <f>Чорн!$G$11</f>
        <v>0</v>
      </c>
      <c r="G32" s="219"/>
      <c r="H32" s="874" t="str">
        <f>Чорн!$G$6</f>
        <v>надбавка за вислугу років </v>
      </c>
      <c r="I32" s="881"/>
      <c r="J32" s="881"/>
      <c r="K32" s="405">
        <f>Чорн!$G$12</f>
        <v>0</v>
      </c>
      <c r="L32" s="21"/>
      <c r="M32" s="219"/>
      <c r="N32" s="874" t="str">
        <f>Чорн!$G$6</f>
        <v>надбавка за вислугу років </v>
      </c>
      <c r="O32" s="881"/>
      <c r="P32" s="881"/>
      <c r="Q32" s="405">
        <f>Чорн!$G$13</f>
        <v>0</v>
      </c>
      <c r="R32" s="21"/>
    </row>
    <row r="33" spans="1:18" ht="12" customHeight="1">
      <c r="A33" s="21"/>
      <c r="B33" s="874">
        <f>Чорн!$H$6</f>
        <v>0</v>
      </c>
      <c r="C33" s="881"/>
      <c r="D33" s="881"/>
      <c r="E33" s="405">
        <f>Чорн!$H$11</f>
        <v>0</v>
      </c>
      <c r="G33" s="219"/>
      <c r="H33" s="874">
        <f>Чорн!$H$6</f>
        <v>0</v>
      </c>
      <c r="I33" s="881"/>
      <c r="J33" s="881"/>
      <c r="K33" s="405">
        <f>Чорн!$H$12</f>
        <v>0</v>
      </c>
      <c r="L33" s="21"/>
      <c r="M33" s="219"/>
      <c r="N33" s="874">
        <f>Чорн!$H$6</f>
        <v>0</v>
      </c>
      <c r="O33" s="881"/>
      <c r="P33" s="881"/>
      <c r="Q33" s="405">
        <f>Чорн!$H$13</f>
        <v>0</v>
      </c>
      <c r="R33" s="21"/>
    </row>
    <row r="34" spans="1:18" ht="12" customHeight="1">
      <c r="A34" s="21"/>
      <c r="B34" s="874" t="str">
        <f>Чорн!$I$6</f>
        <v>лист непрацезд.</v>
      </c>
      <c r="C34" s="881"/>
      <c r="D34" s="881"/>
      <c r="E34" s="405">
        <f>SUM(Чорн!$I$11:$J$11)</f>
        <v>0</v>
      </c>
      <c r="G34" s="219"/>
      <c r="H34" s="874" t="str">
        <f>Чорн!$I$6</f>
        <v>лист непрацезд.</v>
      </c>
      <c r="I34" s="881"/>
      <c r="J34" s="881"/>
      <c r="K34" s="405">
        <f>SUM(Чорн!$I$12:$J$12)</f>
        <v>0</v>
      </c>
      <c r="L34" s="21"/>
      <c r="M34" s="219"/>
      <c r="N34" s="874" t="str">
        <f>Чорн!$I$6</f>
        <v>лист непрацезд.</v>
      </c>
      <c r="O34" s="881"/>
      <c r="P34" s="881"/>
      <c r="Q34" s="405">
        <f>SUM(Чорн!$I$13:$J$13)</f>
        <v>0</v>
      </c>
      <c r="R34" s="21"/>
    </row>
    <row r="35" spans="1:18" ht="12" customHeight="1">
      <c r="A35" s="21"/>
      <c r="B35" s="874" t="str">
        <f>Чорн!$K$6</f>
        <v>відпускні</v>
      </c>
      <c r="C35" s="872"/>
      <c r="D35" s="872"/>
      <c r="E35" s="405">
        <f>Чорн!$K$11</f>
        <v>0</v>
      </c>
      <c r="G35" s="219"/>
      <c r="H35" s="874" t="str">
        <f>Чорн!$K$6</f>
        <v>відпускні</v>
      </c>
      <c r="I35" s="872"/>
      <c r="J35" s="872"/>
      <c r="K35" s="405">
        <f>Чорн!$K$12</f>
        <v>0</v>
      </c>
      <c r="L35" s="21"/>
      <c r="M35" s="219"/>
      <c r="N35" s="874" t="str">
        <f>Чорн!$K$6</f>
        <v>відпускні</v>
      </c>
      <c r="O35" s="872"/>
      <c r="P35" s="872"/>
      <c r="Q35" s="405">
        <f>Чорн!$K$13</f>
        <v>0</v>
      </c>
      <c r="R35" s="21"/>
    </row>
    <row r="36" spans="1:18" ht="12" customHeight="1">
      <c r="A36" s="21"/>
      <c r="B36" s="874" t="str">
        <f>Чорн!$L$6</f>
        <v>індексація за      03 місяць</v>
      </c>
      <c r="C36" s="872"/>
      <c r="D36" s="872"/>
      <c r="E36" s="405">
        <f>Чорн!$L$11</f>
        <v>0</v>
      </c>
      <c r="G36" s="219"/>
      <c r="H36" s="874" t="str">
        <f>Чорн!$L$6</f>
        <v>індексація за      03 місяць</v>
      </c>
      <c r="I36" s="872"/>
      <c r="J36" s="872"/>
      <c r="K36" s="405">
        <f>Чорн!$L$12</f>
        <v>0</v>
      </c>
      <c r="L36" s="21"/>
      <c r="M36" s="219"/>
      <c r="N36" s="874" t="str">
        <f>Чорн!$L$6</f>
        <v>індексація за      03 місяць</v>
      </c>
      <c r="O36" s="872"/>
      <c r="P36" s="872"/>
      <c r="Q36" s="405">
        <f>Чорн!$L$13</f>
        <v>0</v>
      </c>
      <c r="R36" s="21"/>
    </row>
    <row r="37" spans="1:18" ht="12" customHeight="1">
      <c r="A37" s="21"/>
      <c r="B37" s="874" t="str">
        <f>Чорн!$M$6</f>
        <v>допомога на оздоровлення</v>
      </c>
      <c r="C37" s="872"/>
      <c r="D37" s="872"/>
      <c r="E37" s="405">
        <f>Чорн!$M$11</f>
        <v>0</v>
      </c>
      <c r="G37" s="219"/>
      <c r="H37" s="874" t="str">
        <f>Чорн!$M$6</f>
        <v>допомога на оздоровлення</v>
      </c>
      <c r="I37" s="872"/>
      <c r="J37" s="872"/>
      <c r="K37" s="405">
        <f>Чорн!$M$12</f>
        <v>0</v>
      </c>
      <c r="L37" s="21"/>
      <c r="M37" s="219"/>
      <c r="N37" s="874" t="str">
        <f>Чорн!$M$6</f>
        <v>допомога на оздоровлення</v>
      </c>
      <c r="O37" s="872"/>
      <c r="P37" s="872"/>
      <c r="Q37" s="405">
        <f>Чорн!$M$13</f>
        <v>0</v>
      </c>
      <c r="R37" s="21"/>
    </row>
    <row r="38" spans="1:18" ht="12" customHeight="1">
      <c r="A38" s="21"/>
      <c r="B38" s="874" t="str">
        <f>Чорн!$N$6</f>
        <v>мат. допомога на вирішення соц питань</v>
      </c>
      <c r="C38" s="872"/>
      <c r="D38" s="872"/>
      <c r="E38" s="405">
        <f>Чорн!$N$11</f>
        <v>0</v>
      </c>
      <c r="G38" s="219"/>
      <c r="H38" s="874" t="str">
        <f>Чорн!$N$6</f>
        <v>мат. допомога на вирішення соц питань</v>
      </c>
      <c r="I38" s="872"/>
      <c r="J38" s="872"/>
      <c r="K38" s="405">
        <f>Чорн!$N$12</f>
        <v>0</v>
      </c>
      <c r="L38" s="21"/>
      <c r="M38" s="219"/>
      <c r="N38" s="874" t="str">
        <f>Чорн!$N$6</f>
        <v>мат. допомога на вирішення соц питань</v>
      </c>
      <c r="O38" s="872"/>
      <c r="P38" s="872"/>
      <c r="Q38" s="405">
        <f>Чорн!$N$13</f>
        <v>0</v>
      </c>
      <c r="R38" s="21"/>
    </row>
    <row r="39" spans="1:18" ht="12" customHeight="1">
      <c r="A39" s="21"/>
      <c r="B39" s="874" t="str">
        <f>Чорн!$O$6</f>
        <v>премія      за  02    місяць</v>
      </c>
      <c r="C39" s="872"/>
      <c r="D39" s="872"/>
      <c r="E39" s="405">
        <f>Чорн!$O$11</f>
        <v>0</v>
      </c>
      <c r="G39" s="219"/>
      <c r="H39" s="874" t="str">
        <f>Чорн!$O$6</f>
        <v>премія      за  02    місяць</v>
      </c>
      <c r="I39" s="872"/>
      <c r="J39" s="872"/>
      <c r="K39" s="405">
        <f>Чорн!$O$12</f>
        <v>0</v>
      </c>
      <c r="L39" s="21"/>
      <c r="M39" s="219"/>
      <c r="N39" s="874" t="str">
        <f>Чорн!$O$6</f>
        <v>премія      за  02    місяць</v>
      </c>
      <c r="O39" s="872"/>
      <c r="P39" s="872"/>
      <c r="Q39" s="405">
        <f>Чорн!$O$13</f>
        <v>0</v>
      </c>
      <c r="R39" s="21"/>
    </row>
    <row r="40" spans="1:18" ht="12" customHeight="1">
      <c r="A40" s="21"/>
      <c r="B40" s="874">
        <f>Чорн!$P$6</f>
        <v>0</v>
      </c>
      <c r="C40" s="872"/>
      <c r="D40" s="872"/>
      <c r="E40" s="405">
        <f>Чорн!$P$11</f>
        <v>0</v>
      </c>
      <c r="G40" s="219"/>
      <c r="H40" s="874">
        <f>Чорн!$P$6</f>
        <v>0</v>
      </c>
      <c r="I40" s="872"/>
      <c r="J40" s="872"/>
      <c r="K40" s="405">
        <f>Чорн!$P$12</f>
        <v>0</v>
      </c>
      <c r="L40" s="21"/>
      <c r="M40" s="219"/>
      <c r="N40" s="874">
        <f>Чорн!$P$6</f>
        <v>0</v>
      </c>
      <c r="O40" s="872"/>
      <c r="P40" s="872"/>
      <c r="Q40" s="405">
        <f>Чорн!$P$13</f>
        <v>0</v>
      </c>
      <c r="R40" s="21"/>
    </row>
    <row r="41" spans="1:18" ht="12" customHeight="1">
      <c r="A41" s="21"/>
      <c r="B41" s="876" t="s">
        <v>62</v>
      </c>
      <c r="C41" s="872"/>
      <c r="D41" s="872"/>
      <c r="E41" s="406">
        <f>Чорн!$Q$11</f>
        <v>0</v>
      </c>
      <c r="G41" s="219"/>
      <c r="H41" s="876" t="s">
        <v>62</v>
      </c>
      <c r="I41" s="872"/>
      <c r="J41" s="872"/>
      <c r="K41" s="406">
        <f>Чорн!$Q$12</f>
        <v>0</v>
      </c>
      <c r="L41" s="21"/>
      <c r="M41" s="219"/>
      <c r="N41" s="876" t="s">
        <v>62</v>
      </c>
      <c r="O41" s="872"/>
      <c r="P41" s="872"/>
      <c r="Q41" s="406">
        <f>Чорн!$Q$13</f>
        <v>0</v>
      </c>
      <c r="R41" s="21"/>
    </row>
    <row r="42" spans="1:18" ht="12" customHeight="1">
      <c r="A42" s="21"/>
      <c r="B42" s="877"/>
      <c r="C42" s="878"/>
      <c r="D42" s="879" t="s">
        <v>5</v>
      </c>
      <c r="E42" s="880"/>
      <c r="G42" s="219"/>
      <c r="H42" s="877"/>
      <c r="I42" s="878"/>
      <c r="J42" s="879" t="s">
        <v>5</v>
      </c>
      <c r="K42" s="880"/>
      <c r="L42" s="21"/>
      <c r="M42" s="219"/>
      <c r="N42" s="877"/>
      <c r="O42" s="878"/>
      <c r="P42" s="879" t="s">
        <v>5</v>
      </c>
      <c r="Q42" s="880"/>
      <c r="R42" s="21"/>
    </row>
    <row r="43" spans="1:18" ht="12" customHeight="1">
      <c r="A43" s="21"/>
      <c r="B43" s="874" t="str">
        <f>Чорн!$R$6</f>
        <v>за 1 половину місяця</v>
      </c>
      <c r="C43" s="872"/>
      <c r="D43" s="872"/>
      <c r="E43" s="217">
        <f>Чорн!$R$11</f>
        <v>0</v>
      </c>
      <c r="G43" s="219"/>
      <c r="H43" s="874" t="str">
        <f>Чорн!$R$6</f>
        <v>за 1 половину місяця</v>
      </c>
      <c r="I43" s="872"/>
      <c r="J43" s="872"/>
      <c r="K43" s="217">
        <f>Чорн!$R$12</f>
        <v>0</v>
      </c>
      <c r="L43" s="21"/>
      <c r="M43" s="219"/>
      <c r="N43" s="874" t="str">
        <f>Чорн!$R$6</f>
        <v>за 1 половину місяця</v>
      </c>
      <c r="O43" s="872"/>
      <c r="P43" s="872"/>
      <c r="Q43" s="217">
        <f>Чорн!$R$13</f>
        <v>0</v>
      </c>
      <c r="R43" s="21"/>
    </row>
    <row r="44" spans="1:18" ht="12" customHeight="1">
      <c r="A44" s="21"/>
      <c r="B44" s="874" t="str">
        <f>Чорн!$S$6</f>
        <v>прибутковий            податок</v>
      </c>
      <c r="C44" s="872"/>
      <c r="D44" s="872"/>
      <c r="E44" s="217">
        <f>Чорн!$S$11</f>
        <v>0</v>
      </c>
      <c r="G44" s="219"/>
      <c r="H44" s="874" t="str">
        <f>Чорн!$S$6</f>
        <v>прибутковий            податок</v>
      </c>
      <c r="I44" s="872"/>
      <c r="J44" s="872"/>
      <c r="K44" s="217">
        <f>Чорн!$S$12</f>
        <v>0</v>
      </c>
      <c r="L44" s="21"/>
      <c r="M44" s="219"/>
      <c r="N44" s="874" t="str">
        <f>Чорн!$S$6</f>
        <v>прибутковий            податок</v>
      </c>
      <c r="O44" s="872"/>
      <c r="P44" s="872"/>
      <c r="Q44" s="217">
        <f>Чорн!$S$13</f>
        <v>0</v>
      </c>
      <c r="R44" s="21"/>
    </row>
    <row r="45" spans="1:18" ht="12" customHeight="1">
      <c r="A45" s="21"/>
      <c r="B45" s="874" t="str">
        <f>Чорн!$T$6</f>
        <v>ЄСВ 6,1%</v>
      </c>
      <c r="C45" s="872"/>
      <c r="D45" s="872"/>
      <c r="E45" s="217">
        <f>Чорн!$T$11</f>
        <v>0</v>
      </c>
      <c r="G45" s="219"/>
      <c r="H45" s="874" t="str">
        <f>Чорн!$T$6</f>
        <v>ЄСВ 6,1%</v>
      </c>
      <c r="I45" s="872"/>
      <c r="J45" s="872"/>
      <c r="K45" s="217">
        <f>Чорн!$T$12</f>
        <v>0</v>
      </c>
      <c r="L45" s="21"/>
      <c r="M45" s="219"/>
      <c r="N45" s="874" t="str">
        <f>Чорн!$T$6</f>
        <v>ЄСВ 6,1%</v>
      </c>
      <c r="O45" s="872"/>
      <c r="P45" s="872"/>
      <c r="Q45" s="217">
        <f>Чорн!$T$13</f>
        <v>0</v>
      </c>
      <c r="R45" s="21"/>
    </row>
    <row r="46" spans="1:18" ht="12" customHeight="1">
      <c r="A46" s="21"/>
      <c r="B46" s="874" t="str">
        <f>Чорн!$U$6</f>
        <v>ЄСВ 3,6%</v>
      </c>
      <c r="C46" s="872"/>
      <c r="D46" s="872"/>
      <c r="E46" s="217">
        <f>Чорн!$U$11</f>
        <v>0</v>
      </c>
      <c r="G46" s="219"/>
      <c r="H46" s="874" t="str">
        <f>Чорн!$U$6</f>
        <v>ЄСВ 3,6%</v>
      </c>
      <c r="I46" s="872"/>
      <c r="J46" s="872"/>
      <c r="K46" s="217">
        <f>Чорн!$U$12</f>
        <v>0</v>
      </c>
      <c r="L46" s="21"/>
      <c r="M46" s="219"/>
      <c r="N46" s="874" t="str">
        <f>Чорн!$U$6</f>
        <v>ЄСВ 3,6%</v>
      </c>
      <c r="O46" s="872"/>
      <c r="P46" s="872"/>
      <c r="Q46" s="217">
        <f>Чорн!$U$13</f>
        <v>0</v>
      </c>
      <c r="R46" s="21"/>
    </row>
    <row r="47" spans="1:18" ht="12" customHeight="1">
      <c r="A47" s="21"/>
      <c r="B47" s="874" t="str">
        <f>Чорн!$V$6</f>
        <v>ЄСВ 2,0%</v>
      </c>
      <c r="C47" s="872"/>
      <c r="D47" s="872"/>
      <c r="E47" s="217">
        <f>Чорн!$V$11</f>
        <v>0</v>
      </c>
      <c r="G47" s="219"/>
      <c r="H47" s="874" t="str">
        <f>Чорн!$V$6</f>
        <v>ЄСВ 2,0%</v>
      </c>
      <c r="I47" s="872"/>
      <c r="J47" s="872"/>
      <c r="K47" s="217">
        <f>Чорн!$V$12</f>
        <v>0</v>
      </c>
      <c r="L47" s="21"/>
      <c r="M47" s="219"/>
      <c r="N47" s="874" t="str">
        <f>Чорн!$V$6</f>
        <v>ЄСВ 2,0%</v>
      </c>
      <c r="O47" s="872"/>
      <c r="P47" s="872"/>
      <c r="Q47" s="217">
        <f>Чорн!$V$13</f>
        <v>0</v>
      </c>
      <c r="R47" s="21"/>
    </row>
    <row r="48" spans="1:18" ht="12" customHeight="1">
      <c r="A48" s="21"/>
      <c r="B48" s="874" t="str">
        <f>Чорн!$W$6</f>
        <v>профвнески</v>
      </c>
      <c r="C48" s="872"/>
      <c r="D48" s="872"/>
      <c r="E48" s="217">
        <f>Чорн!$W$11</f>
        <v>0</v>
      </c>
      <c r="G48" s="219"/>
      <c r="H48" s="874" t="str">
        <f>Чорн!$W$6</f>
        <v>профвнески</v>
      </c>
      <c r="I48" s="872"/>
      <c r="J48" s="872"/>
      <c r="K48" s="217">
        <f>Чорн!$W$12</f>
        <v>0</v>
      </c>
      <c r="L48" s="21"/>
      <c r="M48" s="219"/>
      <c r="N48" s="874" t="str">
        <f>Чорн!$W$6</f>
        <v>профвнески</v>
      </c>
      <c r="O48" s="872"/>
      <c r="P48" s="872"/>
      <c r="Q48" s="217">
        <f>Чорн!$W$13</f>
        <v>0</v>
      </c>
      <c r="R48" s="21"/>
    </row>
    <row r="49" spans="1:18" ht="12" customHeight="1">
      <c r="A49" s="21"/>
      <c r="B49" s="874">
        <f>Чорн!$X$6</f>
        <v>0</v>
      </c>
      <c r="C49" s="872"/>
      <c r="D49" s="872"/>
      <c r="E49" s="217">
        <f>Чорн!$X$11</f>
        <v>0</v>
      </c>
      <c r="G49" s="219"/>
      <c r="H49" s="874">
        <f>Чорн!$X$6</f>
        <v>0</v>
      </c>
      <c r="I49" s="872"/>
      <c r="J49" s="872"/>
      <c r="K49" s="217">
        <f>Чорн!$X$12</f>
        <v>0</v>
      </c>
      <c r="L49" s="21"/>
      <c r="M49" s="219"/>
      <c r="N49" s="874">
        <f>Чорн!$X$6</f>
        <v>0</v>
      </c>
      <c r="O49" s="872"/>
      <c r="P49" s="872"/>
      <c r="Q49" s="217">
        <f>Чорн!$X$13</f>
        <v>0</v>
      </c>
      <c r="R49" s="21"/>
    </row>
    <row r="50" spans="1:18" ht="12" customHeight="1">
      <c r="A50" s="21"/>
      <c r="B50" s="875" t="str">
        <f>Чорн!$Y$6</f>
        <v>всього утримано</v>
      </c>
      <c r="C50" s="872"/>
      <c r="D50" s="872"/>
      <c r="E50" s="218">
        <f>Чорн!$Y$11</f>
        <v>0</v>
      </c>
      <c r="G50" s="219"/>
      <c r="H50" s="875" t="str">
        <f>Чорн!$Y$6</f>
        <v>всього утримано</v>
      </c>
      <c r="I50" s="872"/>
      <c r="J50" s="872"/>
      <c r="K50" s="218">
        <f>Чорн!$Y$12</f>
        <v>0</v>
      </c>
      <c r="L50" s="21"/>
      <c r="M50" s="219"/>
      <c r="N50" s="875" t="str">
        <f>Чорн!$Y$6</f>
        <v>всього утримано</v>
      </c>
      <c r="O50" s="872"/>
      <c r="P50" s="872"/>
      <c r="Q50" s="218">
        <f>Чорн!$Y$13</f>
        <v>0</v>
      </c>
      <c r="R50" s="21"/>
    </row>
    <row r="51" spans="1:18" ht="12" customHeight="1">
      <c r="A51" s="21"/>
      <c r="B51" s="871"/>
      <c r="C51" s="872"/>
      <c r="D51" s="872"/>
      <c r="E51" s="407"/>
      <c r="G51" s="219"/>
      <c r="H51" s="871"/>
      <c r="I51" s="872"/>
      <c r="J51" s="872"/>
      <c r="K51" s="407"/>
      <c r="L51" s="21"/>
      <c r="M51" s="219"/>
      <c r="N51" s="871"/>
      <c r="O51" s="872"/>
      <c r="P51" s="872"/>
      <c r="Q51" s="407"/>
      <c r="R51" s="21"/>
    </row>
    <row r="52" spans="1:18" ht="12" customHeight="1">
      <c r="A52" s="21"/>
      <c r="B52" s="873" t="str">
        <f>Чорн!$Z$5</f>
        <v>Сума   до перерах- ня</v>
      </c>
      <c r="C52" s="765"/>
      <c r="D52" s="765"/>
      <c r="E52" s="218">
        <f>Чорн!$Z$11</f>
        <v>0</v>
      </c>
      <c r="G52" s="219"/>
      <c r="H52" s="873" t="str">
        <f>Чорн!$Z$5</f>
        <v>Сума   до перерах- ня</v>
      </c>
      <c r="I52" s="765"/>
      <c r="J52" s="765"/>
      <c r="K52" s="218">
        <f>Чорн!$Z$12</f>
        <v>0</v>
      </c>
      <c r="L52" s="21"/>
      <c r="M52" s="219"/>
      <c r="N52" s="873" t="str">
        <f>Чорн!$Z$5</f>
        <v>Сума   до перерах- ня</v>
      </c>
      <c r="O52" s="765"/>
      <c r="P52" s="765"/>
      <c r="Q52" s="218">
        <f>Чорн!$Z$13</f>
        <v>0</v>
      </c>
      <c r="R52" s="21"/>
    </row>
    <row r="53" spans="1:17" ht="12.75">
      <c r="A53" s="21"/>
      <c r="B53" s="21"/>
      <c r="C53" s="21"/>
      <c r="D53" s="21"/>
      <c r="E53" s="21"/>
      <c r="F53" s="409"/>
      <c r="G53" s="21"/>
      <c r="H53" s="21"/>
      <c r="I53" s="21"/>
      <c r="J53" s="21"/>
      <c r="K53" s="21"/>
      <c r="L53" s="409"/>
      <c r="M53" s="21"/>
      <c r="N53" s="21"/>
      <c r="O53" s="21"/>
      <c r="P53" s="21"/>
      <c r="Q53" s="21"/>
    </row>
    <row r="54" spans="1:18" ht="12" customHeight="1">
      <c r="A54" s="21"/>
      <c r="B54" s="765" t="s">
        <v>352</v>
      </c>
      <c r="C54" s="765"/>
      <c r="D54" s="887" t="str">
        <f>Чорн!$M$3</f>
        <v>березень</v>
      </c>
      <c r="E54" s="887"/>
      <c r="F54" s="136"/>
      <c r="G54" s="21"/>
      <c r="H54" s="765" t="s">
        <v>352</v>
      </c>
      <c r="I54" s="765"/>
      <c r="J54" s="887" t="str">
        <f>Чорн!$M$3</f>
        <v>березень</v>
      </c>
      <c r="K54" s="887"/>
      <c r="L54" s="136"/>
      <c r="M54" s="219"/>
      <c r="N54" s="765" t="s">
        <v>352</v>
      </c>
      <c r="O54" s="765"/>
      <c r="P54" s="887" t="str">
        <f>Чорн!$M$3</f>
        <v>березень</v>
      </c>
      <c r="Q54" s="887"/>
      <c r="R54" s="21"/>
    </row>
    <row r="55" spans="1:18" ht="12" customHeight="1">
      <c r="A55" s="21"/>
      <c r="B55" s="901">
        <f>Чорн!$C$14</f>
        <v>0</v>
      </c>
      <c r="C55" s="902"/>
      <c r="D55" s="882" t="s">
        <v>3</v>
      </c>
      <c r="E55" s="883"/>
      <c r="F55" s="410"/>
      <c r="G55" s="21"/>
      <c r="H55" s="901">
        <f>Чорн!$C$15</f>
        <v>0</v>
      </c>
      <c r="I55" s="902"/>
      <c r="J55" s="882" t="s">
        <v>3</v>
      </c>
      <c r="K55" s="883"/>
      <c r="L55" s="410"/>
      <c r="M55" s="219"/>
      <c r="N55" s="901">
        <f>Чорн!$C$16</f>
        <v>0</v>
      </c>
      <c r="O55" s="902"/>
      <c r="P55" s="882" t="s">
        <v>3</v>
      </c>
      <c r="Q55" s="883"/>
      <c r="R55" s="21"/>
    </row>
    <row r="56" spans="1:18" ht="12" customHeight="1">
      <c r="A56" s="21"/>
      <c r="B56" s="884" t="str">
        <f>Чорн!$E$6</f>
        <v>посадовий оклад</v>
      </c>
      <c r="C56" s="885"/>
      <c r="D56" s="885"/>
      <c r="E56" s="408">
        <f>Чорн!$E$14</f>
        <v>0</v>
      </c>
      <c r="F56" s="410"/>
      <c r="G56" s="21"/>
      <c r="H56" s="884" t="str">
        <f>Чорн!$E$6</f>
        <v>посадовий оклад</v>
      </c>
      <c r="I56" s="885"/>
      <c r="J56" s="885"/>
      <c r="K56" s="408">
        <f>Чорн!$E$15</f>
        <v>0</v>
      </c>
      <c r="L56" s="410"/>
      <c r="M56" s="219"/>
      <c r="N56" s="884" t="str">
        <f>Чорн!$E$6</f>
        <v>посадовий оклад</v>
      </c>
      <c r="O56" s="885"/>
      <c r="P56" s="885"/>
      <c r="Q56" s="408">
        <f>Чорн!$E$16</f>
        <v>0</v>
      </c>
      <c r="R56" s="21"/>
    </row>
    <row r="57" spans="1:18" ht="12" customHeight="1">
      <c r="A57" s="21"/>
      <c r="B57" s="874" t="str">
        <f>Чорн!$F$6</f>
        <v>доплата за ранг</v>
      </c>
      <c r="C57" s="881"/>
      <c r="D57" s="881"/>
      <c r="E57" s="405">
        <f>Чорн!$F$14</f>
        <v>0</v>
      </c>
      <c r="F57" s="410"/>
      <c r="G57" s="21"/>
      <c r="H57" s="874" t="str">
        <f>Чорн!$F$6</f>
        <v>доплата за ранг</v>
      </c>
      <c r="I57" s="881"/>
      <c r="J57" s="881"/>
      <c r="K57" s="405">
        <f>Чорн!$F$15</f>
        <v>0</v>
      </c>
      <c r="L57" s="410"/>
      <c r="M57" s="219"/>
      <c r="N57" s="874" t="str">
        <f>Чорн!$F$6</f>
        <v>доплата за ранг</v>
      </c>
      <c r="O57" s="881"/>
      <c r="P57" s="881"/>
      <c r="Q57" s="405">
        <f>Чорн!$F$16</f>
        <v>0</v>
      </c>
      <c r="R57" s="21"/>
    </row>
    <row r="58" spans="1:18" ht="12" customHeight="1">
      <c r="A58" s="21"/>
      <c r="B58" s="874" t="str">
        <f>Чорн!$G$6</f>
        <v>надбавка за вислугу років </v>
      </c>
      <c r="C58" s="881"/>
      <c r="D58" s="881"/>
      <c r="E58" s="405">
        <f>Чорн!$G$14</f>
        <v>0</v>
      </c>
      <c r="F58" s="410"/>
      <c r="G58" s="21"/>
      <c r="H58" s="874" t="str">
        <f>Чорн!$G$6</f>
        <v>надбавка за вислугу років </v>
      </c>
      <c r="I58" s="881"/>
      <c r="J58" s="881"/>
      <c r="K58" s="405">
        <f>Чорн!$G$15</f>
        <v>0</v>
      </c>
      <c r="L58" s="410"/>
      <c r="M58" s="219"/>
      <c r="N58" s="874" t="str">
        <f>Чорн!$G$6</f>
        <v>надбавка за вислугу років </v>
      </c>
      <c r="O58" s="881"/>
      <c r="P58" s="881"/>
      <c r="Q58" s="405">
        <f>Чорн!$G$16</f>
        <v>0</v>
      </c>
      <c r="R58" s="21"/>
    </row>
    <row r="59" spans="1:18" ht="12" customHeight="1">
      <c r="A59" s="21"/>
      <c r="B59" s="874">
        <f>Чорн!$H$6</f>
        <v>0</v>
      </c>
      <c r="C59" s="881"/>
      <c r="D59" s="881"/>
      <c r="E59" s="405">
        <f>Чорн!$H$14</f>
        <v>0</v>
      </c>
      <c r="F59" s="410"/>
      <c r="G59" s="21"/>
      <c r="H59" s="874">
        <f>Чорн!$H$6</f>
        <v>0</v>
      </c>
      <c r="I59" s="881"/>
      <c r="J59" s="881"/>
      <c r="K59" s="405">
        <f>Чорн!$H$15</f>
        <v>0</v>
      </c>
      <c r="L59" s="410"/>
      <c r="M59" s="219"/>
      <c r="N59" s="874">
        <f>Чорн!$H$6</f>
        <v>0</v>
      </c>
      <c r="O59" s="881"/>
      <c r="P59" s="881"/>
      <c r="Q59" s="405">
        <f>Чорн!$H$16</f>
        <v>0</v>
      </c>
      <c r="R59" s="21"/>
    </row>
    <row r="60" spans="1:18" ht="12" customHeight="1">
      <c r="A60" s="21"/>
      <c r="B60" s="874" t="str">
        <f>Чорн!$I$6</f>
        <v>лист непрацезд.</v>
      </c>
      <c r="C60" s="881"/>
      <c r="D60" s="881"/>
      <c r="E60" s="405">
        <f>SUM(Чорн!$I$14:$J$14)</f>
        <v>0</v>
      </c>
      <c r="F60" s="410"/>
      <c r="G60" s="21"/>
      <c r="H60" s="874" t="str">
        <f>Чорн!$I$6</f>
        <v>лист непрацезд.</v>
      </c>
      <c r="I60" s="881"/>
      <c r="J60" s="881"/>
      <c r="K60" s="405">
        <f>SUM(Чорн!$I$15:$J$15)</f>
        <v>0</v>
      </c>
      <c r="L60" s="410"/>
      <c r="M60" s="219"/>
      <c r="N60" s="874" t="str">
        <f>Чорн!$I$6</f>
        <v>лист непрацезд.</v>
      </c>
      <c r="O60" s="881"/>
      <c r="P60" s="881"/>
      <c r="Q60" s="405">
        <f>SUM(Чорн!$I$16:$J$16)</f>
        <v>0</v>
      </c>
      <c r="R60" s="21"/>
    </row>
    <row r="61" spans="1:18" ht="12" customHeight="1">
      <c r="A61" s="21"/>
      <c r="B61" s="874" t="str">
        <f>Чорн!$K$6</f>
        <v>відпускні</v>
      </c>
      <c r="C61" s="872"/>
      <c r="D61" s="872"/>
      <c r="E61" s="405">
        <f>Чорн!$K$14</f>
        <v>0</v>
      </c>
      <c r="F61" s="410"/>
      <c r="G61" s="21"/>
      <c r="H61" s="874" t="str">
        <f>Чорн!$K$6</f>
        <v>відпускні</v>
      </c>
      <c r="I61" s="872"/>
      <c r="J61" s="872"/>
      <c r="K61" s="405">
        <f>Чорн!$K$15</f>
        <v>0</v>
      </c>
      <c r="L61" s="410"/>
      <c r="M61" s="219"/>
      <c r="N61" s="874" t="str">
        <f>Чорн!$K$6</f>
        <v>відпускні</v>
      </c>
      <c r="O61" s="872"/>
      <c r="P61" s="872"/>
      <c r="Q61" s="405">
        <f>Чорн!$K$16</f>
        <v>0</v>
      </c>
      <c r="R61" s="21"/>
    </row>
    <row r="62" spans="1:18" ht="12" customHeight="1">
      <c r="A62" s="21"/>
      <c r="B62" s="874" t="str">
        <f>Чорн!$L$6</f>
        <v>індексація за      03 місяць</v>
      </c>
      <c r="C62" s="872"/>
      <c r="D62" s="872"/>
      <c r="E62" s="405">
        <f>Чорн!$L$14</f>
        <v>0</v>
      </c>
      <c r="F62" s="410"/>
      <c r="G62" s="21"/>
      <c r="H62" s="874" t="str">
        <f>Чорн!$L$6</f>
        <v>індексація за      03 місяць</v>
      </c>
      <c r="I62" s="872"/>
      <c r="J62" s="872"/>
      <c r="K62" s="405">
        <f>Чорн!$L$15</f>
        <v>0</v>
      </c>
      <c r="L62" s="410"/>
      <c r="M62" s="219"/>
      <c r="N62" s="874" t="str">
        <f>Чорн!$L$6</f>
        <v>індексація за      03 місяць</v>
      </c>
      <c r="O62" s="872"/>
      <c r="P62" s="872"/>
      <c r="Q62" s="405">
        <f>Чорн!$L$16</f>
        <v>0</v>
      </c>
      <c r="R62" s="21"/>
    </row>
    <row r="63" spans="1:18" ht="12" customHeight="1">
      <c r="A63" s="21"/>
      <c r="B63" s="874" t="str">
        <f>Чорн!$M$6</f>
        <v>допомога на оздоровлення</v>
      </c>
      <c r="C63" s="872"/>
      <c r="D63" s="872"/>
      <c r="E63" s="405">
        <f>Чорн!$M$14</f>
        <v>0</v>
      </c>
      <c r="F63" s="410"/>
      <c r="G63" s="21"/>
      <c r="H63" s="874" t="str">
        <f>Чорн!$M$6</f>
        <v>допомога на оздоровлення</v>
      </c>
      <c r="I63" s="872"/>
      <c r="J63" s="872"/>
      <c r="K63" s="405">
        <f>Чорн!$M$15</f>
        <v>0</v>
      </c>
      <c r="L63" s="410"/>
      <c r="M63" s="219"/>
      <c r="N63" s="874" t="str">
        <f>Чорн!$M$6</f>
        <v>допомога на оздоровлення</v>
      </c>
      <c r="O63" s="872"/>
      <c r="P63" s="872"/>
      <c r="Q63" s="405">
        <f>Чорн!$M$16</f>
        <v>0</v>
      </c>
      <c r="R63" s="21"/>
    </row>
    <row r="64" spans="1:18" ht="12" customHeight="1">
      <c r="A64" s="21"/>
      <c r="B64" s="874" t="str">
        <f>Чорн!$N$6</f>
        <v>мат. допомога на вирішення соц питань</v>
      </c>
      <c r="C64" s="872"/>
      <c r="D64" s="872"/>
      <c r="E64" s="405">
        <f>Чорн!$N$14</f>
        <v>0</v>
      </c>
      <c r="F64" s="410"/>
      <c r="G64" s="21"/>
      <c r="H64" s="874" t="str">
        <f>Чорн!$N$6</f>
        <v>мат. допомога на вирішення соц питань</v>
      </c>
      <c r="I64" s="872"/>
      <c r="J64" s="872"/>
      <c r="K64" s="405">
        <f>Чорн!$N$15</f>
        <v>0</v>
      </c>
      <c r="L64" s="410"/>
      <c r="M64" s="219"/>
      <c r="N64" s="874" t="str">
        <f>Чорн!$N$6</f>
        <v>мат. допомога на вирішення соц питань</v>
      </c>
      <c r="O64" s="872"/>
      <c r="P64" s="872"/>
      <c r="Q64" s="405">
        <f>Чорн!$N$16</f>
        <v>0</v>
      </c>
      <c r="R64" s="21"/>
    </row>
    <row r="65" spans="1:18" ht="12" customHeight="1">
      <c r="A65" s="21"/>
      <c r="B65" s="874" t="str">
        <f>Чорн!$O$6</f>
        <v>премія      за  02    місяць</v>
      </c>
      <c r="C65" s="872"/>
      <c r="D65" s="872"/>
      <c r="E65" s="405">
        <f>Чорн!$O$14</f>
        <v>0</v>
      </c>
      <c r="F65" s="410"/>
      <c r="G65" s="21"/>
      <c r="H65" s="874" t="str">
        <f>Чорн!$O$6</f>
        <v>премія      за  02    місяць</v>
      </c>
      <c r="I65" s="872"/>
      <c r="J65" s="872"/>
      <c r="K65" s="405">
        <f>Чорн!$O$15</f>
        <v>0</v>
      </c>
      <c r="L65" s="410"/>
      <c r="M65" s="219"/>
      <c r="N65" s="874" t="str">
        <f>Чорн!$O$6</f>
        <v>премія      за  02    місяць</v>
      </c>
      <c r="O65" s="872"/>
      <c r="P65" s="872"/>
      <c r="Q65" s="405">
        <f>Чорн!$O$16</f>
        <v>0</v>
      </c>
      <c r="R65" s="21"/>
    </row>
    <row r="66" spans="1:18" ht="12" customHeight="1">
      <c r="A66" s="21"/>
      <c r="B66" s="874">
        <f>Чорн!$P$6</f>
        <v>0</v>
      </c>
      <c r="C66" s="872"/>
      <c r="D66" s="872"/>
      <c r="E66" s="405">
        <f>Чорн!$P$14</f>
        <v>0</v>
      </c>
      <c r="F66" s="410"/>
      <c r="G66" s="21"/>
      <c r="H66" s="874">
        <f>Чорн!$P$6</f>
        <v>0</v>
      </c>
      <c r="I66" s="872"/>
      <c r="J66" s="872"/>
      <c r="K66" s="405">
        <f>Чорн!$P$15</f>
        <v>0</v>
      </c>
      <c r="L66" s="410"/>
      <c r="M66" s="219"/>
      <c r="N66" s="874">
        <f>Чорн!$P$6</f>
        <v>0</v>
      </c>
      <c r="O66" s="872"/>
      <c r="P66" s="872"/>
      <c r="Q66" s="405">
        <f>Чорн!$P$16</f>
        <v>0</v>
      </c>
      <c r="R66" s="21"/>
    </row>
    <row r="67" spans="1:18" ht="12" customHeight="1">
      <c r="A67" s="21"/>
      <c r="B67" s="876" t="s">
        <v>62</v>
      </c>
      <c r="C67" s="872"/>
      <c r="D67" s="872"/>
      <c r="E67" s="406">
        <f>Чорн!$Q$14</f>
        <v>0</v>
      </c>
      <c r="F67" s="410"/>
      <c r="G67" s="21"/>
      <c r="H67" s="876" t="s">
        <v>62</v>
      </c>
      <c r="I67" s="872"/>
      <c r="J67" s="872"/>
      <c r="K67" s="406">
        <f>Чорн!$Q$15</f>
        <v>0</v>
      </c>
      <c r="L67" s="410"/>
      <c r="M67" s="219"/>
      <c r="N67" s="876" t="s">
        <v>62</v>
      </c>
      <c r="O67" s="872"/>
      <c r="P67" s="872"/>
      <c r="Q67" s="406">
        <f>Чорн!$Q$16</f>
        <v>0</v>
      </c>
      <c r="R67" s="21"/>
    </row>
    <row r="68" spans="1:18" ht="12" customHeight="1">
      <c r="A68" s="21"/>
      <c r="B68" s="877"/>
      <c r="C68" s="878"/>
      <c r="D68" s="879" t="s">
        <v>5</v>
      </c>
      <c r="E68" s="880"/>
      <c r="F68" s="410"/>
      <c r="G68" s="21"/>
      <c r="H68" s="877"/>
      <c r="I68" s="878"/>
      <c r="J68" s="879" t="s">
        <v>5</v>
      </c>
      <c r="K68" s="880"/>
      <c r="L68" s="410"/>
      <c r="M68" s="219"/>
      <c r="N68" s="877"/>
      <c r="O68" s="878"/>
      <c r="P68" s="879" t="s">
        <v>5</v>
      </c>
      <c r="Q68" s="880"/>
      <c r="R68" s="21"/>
    </row>
    <row r="69" spans="1:18" ht="12" customHeight="1">
      <c r="A69" s="21"/>
      <c r="B69" s="874" t="str">
        <f>Чорн!$R$6</f>
        <v>за 1 половину місяця</v>
      </c>
      <c r="C69" s="872"/>
      <c r="D69" s="872"/>
      <c r="E69" s="217">
        <f>Чорн!$R$14</f>
        <v>0</v>
      </c>
      <c r="F69" s="411"/>
      <c r="G69" s="21"/>
      <c r="H69" s="874" t="str">
        <f>Чорн!$R$6</f>
        <v>за 1 половину місяця</v>
      </c>
      <c r="I69" s="872"/>
      <c r="J69" s="872"/>
      <c r="K69" s="217">
        <f>Чорн!$R$15</f>
        <v>0</v>
      </c>
      <c r="L69" s="411"/>
      <c r="M69" s="219"/>
      <c r="N69" s="874" t="str">
        <f>Чорн!$R$6</f>
        <v>за 1 половину місяця</v>
      </c>
      <c r="O69" s="872"/>
      <c r="P69" s="872"/>
      <c r="Q69" s="217">
        <f>Чорн!$R$16</f>
        <v>0</v>
      </c>
      <c r="R69" s="21"/>
    </row>
    <row r="70" spans="1:18" ht="12" customHeight="1">
      <c r="A70" s="21"/>
      <c r="B70" s="874" t="str">
        <f>Чорн!$S$6</f>
        <v>прибутковий            податок</v>
      </c>
      <c r="C70" s="872"/>
      <c r="D70" s="872"/>
      <c r="E70" s="217">
        <f>Чорн!$S$14</f>
        <v>0</v>
      </c>
      <c r="F70" s="410"/>
      <c r="G70" s="21"/>
      <c r="H70" s="874" t="str">
        <f>Чорн!$S$6</f>
        <v>прибутковий            податок</v>
      </c>
      <c r="I70" s="872"/>
      <c r="J70" s="872"/>
      <c r="K70" s="217">
        <f>Чорн!$S$15</f>
        <v>0</v>
      </c>
      <c r="L70" s="410"/>
      <c r="M70" s="219"/>
      <c r="N70" s="874" t="str">
        <f>Чорн!$S$6</f>
        <v>прибутковий            податок</v>
      </c>
      <c r="O70" s="872"/>
      <c r="P70" s="872"/>
      <c r="Q70" s="217">
        <f>Чорн!$S$16</f>
        <v>0</v>
      </c>
      <c r="R70" s="21"/>
    </row>
    <row r="71" spans="1:18" ht="12" customHeight="1">
      <c r="A71" s="21"/>
      <c r="B71" s="874" t="str">
        <f>Чорн!$T$6</f>
        <v>ЄСВ 6,1%</v>
      </c>
      <c r="C71" s="872"/>
      <c r="D71" s="872"/>
      <c r="E71" s="217">
        <f>Чорн!$T$14</f>
        <v>0</v>
      </c>
      <c r="F71" s="410"/>
      <c r="G71" s="21"/>
      <c r="H71" s="874" t="str">
        <f>Чорн!$T$6</f>
        <v>ЄСВ 6,1%</v>
      </c>
      <c r="I71" s="872"/>
      <c r="J71" s="872"/>
      <c r="K71" s="217">
        <f>Чорн!$T$15</f>
        <v>0</v>
      </c>
      <c r="L71" s="410"/>
      <c r="M71" s="219"/>
      <c r="N71" s="874" t="str">
        <f>Чорн!$T$6</f>
        <v>ЄСВ 6,1%</v>
      </c>
      <c r="O71" s="872"/>
      <c r="P71" s="872"/>
      <c r="Q71" s="217">
        <f>Чорн!$T$16</f>
        <v>0</v>
      </c>
      <c r="R71" s="21"/>
    </row>
    <row r="72" spans="1:18" ht="12" customHeight="1">
      <c r="A72" s="21"/>
      <c r="B72" s="874" t="str">
        <f>Чорн!$U$6</f>
        <v>ЄСВ 3,6%</v>
      </c>
      <c r="C72" s="872"/>
      <c r="D72" s="872"/>
      <c r="E72" s="217">
        <f>Чорн!$U$14</f>
        <v>0</v>
      </c>
      <c r="F72" s="410"/>
      <c r="G72" s="21"/>
      <c r="H72" s="874" t="str">
        <f>Чорн!$U$6</f>
        <v>ЄСВ 3,6%</v>
      </c>
      <c r="I72" s="872"/>
      <c r="J72" s="872"/>
      <c r="K72" s="217">
        <f>Чорн!$U$15</f>
        <v>0</v>
      </c>
      <c r="L72" s="410"/>
      <c r="M72" s="219"/>
      <c r="N72" s="874" t="str">
        <f>Чорн!$U$6</f>
        <v>ЄСВ 3,6%</v>
      </c>
      <c r="O72" s="872"/>
      <c r="P72" s="872"/>
      <c r="Q72" s="217">
        <f>Чорн!$U$16</f>
        <v>0</v>
      </c>
      <c r="R72" s="21"/>
    </row>
    <row r="73" spans="1:18" ht="12" customHeight="1">
      <c r="A73" s="21"/>
      <c r="B73" s="874" t="str">
        <f>Чорн!$V$6</f>
        <v>ЄСВ 2,0%</v>
      </c>
      <c r="C73" s="872"/>
      <c r="D73" s="872"/>
      <c r="E73" s="217">
        <f>Чорн!$V$14</f>
        <v>0</v>
      </c>
      <c r="F73" s="411"/>
      <c r="G73" s="21"/>
      <c r="H73" s="874" t="str">
        <f>Чорн!$V$6</f>
        <v>ЄСВ 2,0%</v>
      </c>
      <c r="I73" s="872"/>
      <c r="J73" s="872"/>
      <c r="K73" s="217">
        <f>Чорн!$V$15</f>
        <v>0</v>
      </c>
      <c r="L73" s="411"/>
      <c r="M73" s="219"/>
      <c r="N73" s="874" t="str">
        <f>Чорн!$V$6</f>
        <v>ЄСВ 2,0%</v>
      </c>
      <c r="O73" s="872"/>
      <c r="P73" s="872"/>
      <c r="Q73" s="217">
        <f>Чорн!$V$16</f>
        <v>0</v>
      </c>
      <c r="R73" s="21"/>
    </row>
    <row r="74" spans="1:18" ht="12" customHeight="1">
      <c r="A74" s="21"/>
      <c r="B74" s="874" t="str">
        <f>Чорн!$W$6</f>
        <v>профвнески</v>
      </c>
      <c r="C74" s="872"/>
      <c r="D74" s="872"/>
      <c r="E74" s="217">
        <f>Чорн!$W$14</f>
        <v>0</v>
      </c>
      <c r="F74" s="410"/>
      <c r="G74" s="21"/>
      <c r="H74" s="874" t="str">
        <f>Чорн!$W$6</f>
        <v>профвнески</v>
      </c>
      <c r="I74" s="872"/>
      <c r="J74" s="872"/>
      <c r="K74" s="217">
        <f>Чорн!$W$15</f>
        <v>0</v>
      </c>
      <c r="L74" s="410"/>
      <c r="M74" s="219"/>
      <c r="N74" s="874" t="str">
        <f>Чорн!$W$6</f>
        <v>профвнески</v>
      </c>
      <c r="O74" s="872"/>
      <c r="P74" s="872"/>
      <c r="Q74" s="217">
        <f>Чорн!$W$16</f>
        <v>0</v>
      </c>
      <c r="R74" s="21"/>
    </row>
    <row r="75" spans="1:18" ht="12" customHeight="1">
      <c r="A75" s="21"/>
      <c r="B75" s="874">
        <f>Чорн!$X$6</f>
        <v>0</v>
      </c>
      <c r="C75" s="872"/>
      <c r="D75" s="872"/>
      <c r="E75" s="217">
        <f>Чорн!$X$14</f>
        <v>0</v>
      </c>
      <c r="F75" s="410"/>
      <c r="G75" s="21"/>
      <c r="H75" s="874">
        <f>Чорн!$X$6</f>
        <v>0</v>
      </c>
      <c r="I75" s="872"/>
      <c r="J75" s="872"/>
      <c r="K75" s="217">
        <f>Чорн!$X$15</f>
        <v>0</v>
      </c>
      <c r="L75" s="410"/>
      <c r="M75" s="219"/>
      <c r="N75" s="874">
        <f>Чорн!$X$6</f>
        <v>0</v>
      </c>
      <c r="O75" s="872"/>
      <c r="P75" s="872"/>
      <c r="Q75" s="217">
        <f>Чорн!$X$16</f>
        <v>0</v>
      </c>
      <c r="R75" s="21"/>
    </row>
    <row r="76" spans="1:18" ht="12" customHeight="1">
      <c r="A76" s="21"/>
      <c r="B76" s="875" t="str">
        <f>Чорн!$Y$6</f>
        <v>всього утримано</v>
      </c>
      <c r="C76" s="872"/>
      <c r="D76" s="872"/>
      <c r="E76" s="218">
        <f>Чорн!$Y$14</f>
        <v>0</v>
      </c>
      <c r="F76" s="410"/>
      <c r="G76" s="21"/>
      <c r="H76" s="875" t="str">
        <f>Чорн!$Y$6</f>
        <v>всього утримано</v>
      </c>
      <c r="I76" s="872"/>
      <c r="J76" s="872"/>
      <c r="K76" s="218">
        <f>Чорн!$Y$15</f>
        <v>0</v>
      </c>
      <c r="L76" s="410"/>
      <c r="M76" s="219"/>
      <c r="N76" s="875" t="str">
        <f>Чорн!$Y$6</f>
        <v>всього утримано</v>
      </c>
      <c r="O76" s="872"/>
      <c r="P76" s="872"/>
      <c r="Q76" s="218">
        <f>Чорн!$Y$16</f>
        <v>0</v>
      </c>
      <c r="R76" s="21"/>
    </row>
    <row r="77" spans="1:18" ht="12" customHeight="1">
      <c r="A77" s="21"/>
      <c r="B77" s="871"/>
      <c r="C77" s="872"/>
      <c r="D77" s="872"/>
      <c r="E77" s="407"/>
      <c r="F77" s="410"/>
      <c r="G77" s="21"/>
      <c r="H77" s="871"/>
      <c r="I77" s="872"/>
      <c r="J77" s="872"/>
      <c r="K77" s="407"/>
      <c r="L77" s="410"/>
      <c r="M77" s="219"/>
      <c r="N77" s="871"/>
      <c r="O77" s="872"/>
      <c r="P77" s="872"/>
      <c r="Q77" s="407"/>
      <c r="R77" s="21"/>
    </row>
    <row r="78" spans="1:18" ht="12" customHeight="1">
      <c r="A78" s="21"/>
      <c r="B78" s="873" t="str">
        <f>Чорн!$Z$5</f>
        <v>Сума   до перерах- ня</v>
      </c>
      <c r="C78" s="765"/>
      <c r="D78" s="765"/>
      <c r="E78" s="218">
        <f>Чорн!$Z$14</f>
        <v>0</v>
      </c>
      <c r="F78" s="410"/>
      <c r="G78" s="21"/>
      <c r="H78" s="873" t="str">
        <f>Чорн!$Z$5</f>
        <v>Сума   до перерах- ня</v>
      </c>
      <c r="I78" s="765"/>
      <c r="J78" s="765"/>
      <c r="K78" s="218">
        <f>Чорн!$Z$15</f>
        <v>0</v>
      </c>
      <c r="L78" s="410"/>
      <c r="M78" s="219"/>
      <c r="N78" s="873" t="str">
        <f>Чорн!$Z$5</f>
        <v>Сума   до перерах- ня</v>
      </c>
      <c r="O78" s="765"/>
      <c r="P78" s="765"/>
      <c r="Q78" s="218">
        <f>Чорн!$Z$16</f>
        <v>0</v>
      </c>
      <c r="R78" s="21"/>
    </row>
    <row r="79" spans="1:18" ht="19.5" customHeight="1">
      <c r="A79" s="21"/>
      <c r="B79" s="61"/>
      <c r="C79" s="61"/>
      <c r="D79" s="61"/>
      <c r="E79" s="61"/>
      <c r="F79" s="412"/>
      <c r="G79" s="61"/>
      <c r="H79" s="61"/>
      <c r="I79" s="61"/>
      <c r="J79" s="61"/>
      <c r="K79" s="61"/>
      <c r="L79" s="412"/>
      <c r="M79" s="391"/>
      <c r="N79" s="61"/>
      <c r="O79" s="61"/>
      <c r="P79" s="61"/>
      <c r="Q79" s="61"/>
      <c r="R79" s="21"/>
    </row>
    <row r="80" spans="1:18" ht="19.5" customHeight="1">
      <c r="A80" s="21"/>
      <c r="B80" s="105"/>
      <c r="C80" s="886"/>
      <c r="D80" s="886"/>
      <c r="E80" s="21"/>
      <c r="G80" s="219"/>
      <c r="H80" s="105"/>
      <c r="I80" s="886"/>
      <c r="J80" s="886"/>
      <c r="K80" s="21"/>
      <c r="L80" s="21"/>
      <c r="M80" s="471"/>
      <c r="N80" s="105"/>
      <c r="O80" s="886"/>
      <c r="P80" s="886"/>
      <c r="Q80" s="21"/>
      <c r="R80" s="21"/>
    </row>
    <row r="81" spans="1:18" ht="12" customHeight="1">
      <c r="A81" s="21"/>
      <c r="B81" s="765" t="s">
        <v>352</v>
      </c>
      <c r="C81" s="765"/>
      <c r="D81" s="887" t="str">
        <f>Чорн!$M$3</f>
        <v>березень</v>
      </c>
      <c r="E81" s="887"/>
      <c r="G81" s="219"/>
      <c r="H81" s="765" t="s">
        <v>352</v>
      </c>
      <c r="I81" s="765"/>
      <c r="J81" s="887" t="str">
        <f>Чорн!$M$3</f>
        <v>березень</v>
      </c>
      <c r="K81" s="887"/>
      <c r="L81" s="136"/>
      <c r="M81" s="219"/>
      <c r="N81" s="765" t="s">
        <v>352</v>
      </c>
      <c r="O81" s="765"/>
      <c r="P81" s="887" t="str">
        <f>Чорн!$M$3</f>
        <v>березень</v>
      </c>
      <c r="Q81" s="887"/>
      <c r="R81" s="21"/>
    </row>
    <row r="82" spans="1:18" ht="12" customHeight="1">
      <c r="A82" s="21"/>
      <c r="B82" s="901">
        <f>Чорн!$C$17</f>
        <v>0</v>
      </c>
      <c r="C82" s="902"/>
      <c r="D82" s="882" t="s">
        <v>3</v>
      </c>
      <c r="E82" s="883"/>
      <c r="G82" s="219"/>
      <c r="H82" s="901">
        <f>Чорн!$C$18</f>
        <v>0</v>
      </c>
      <c r="I82" s="902"/>
      <c r="J82" s="882" t="s">
        <v>3</v>
      </c>
      <c r="K82" s="883"/>
      <c r="L82" s="410"/>
      <c r="M82" s="219"/>
      <c r="N82" s="901">
        <f>Чорн!$C$19</f>
        <v>0</v>
      </c>
      <c r="O82" s="902"/>
      <c r="P82" s="882" t="s">
        <v>3</v>
      </c>
      <c r="Q82" s="883"/>
      <c r="R82" s="21"/>
    </row>
    <row r="83" spans="1:18" ht="12" customHeight="1">
      <c r="A83" s="21"/>
      <c r="B83" s="884" t="str">
        <f>Чорн!$E$6</f>
        <v>посадовий оклад</v>
      </c>
      <c r="C83" s="885"/>
      <c r="D83" s="885"/>
      <c r="E83" s="408">
        <f>Чорн!$E$17</f>
        <v>0</v>
      </c>
      <c r="G83" s="219"/>
      <c r="H83" s="884" t="str">
        <f>Чорн!$E$6</f>
        <v>посадовий оклад</v>
      </c>
      <c r="I83" s="885"/>
      <c r="J83" s="885"/>
      <c r="K83" s="408">
        <f>Чорн!$E$18</f>
        <v>0</v>
      </c>
      <c r="L83" s="410"/>
      <c r="M83" s="219"/>
      <c r="N83" s="884" t="str">
        <f>Чорн!$E$6</f>
        <v>посадовий оклад</v>
      </c>
      <c r="O83" s="885"/>
      <c r="P83" s="885"/>
      <c r="Q83" s="408">
        <f>Чорн!$E$19</f>
        <v>0</v>
      </c>
      <c r="R83" s="21"/>
    </row>
    <row r="84" spans="1:18" ht="12" customHeight="1">
      <c r="A84" s="21"/>
      <c r="B84" s="874" t="str">
        <f>Чорн!$F$6</f>
        <v>доплата за ранг</v>
      </c>
      <c r="C84" s="881"/>
      <c r="D84" s="881"/>
      <c r="E84" s="405">
        <f>Чорн!$F$17</f>
        <v>0</v>
      </c>
      <c r="G84" s="219"/>
      <c r="H84" s="874" t="str">
        <f>Чорн!$F$6</f>
        <v>доплата за ранг</v>
      </c>
      <c r="I84" s="881"/>
      <c r="J84" s="881"/>
      <c r="K84" s="405">
        <f>Чорн!$F$18</f>
        <v>0</v>
      </c>
      <c r="L84" s="410"/>
      <c r="M84" s="219"/>
      <c r="N84" s="874" t="str">
        <f>Чорн!$F$6</f>
        <v>доплата за ранг</v>
      </c>
      <c r="O84" s="881"/>
      <c r="P84" s="881"/>
      <c r="Q84" s="405">
        <f>Чорн!$F$19</f>
        <v>0</v>
      </c>
      <c r="R84" s="21"/>
    </row>
    <row r="85" spans="1:18" ht="12" customHeight="1">
      <c r="A85" s="21"/>
      <c r="B85" s="874" t="str">
        <f>Чорн!$G$6</f>
        <v>надбавка за вислугу років </v>
      </c>
      <c r="C85" s="881"/>
      <c r="D85" s="881"/>
      <c r="E85" s="405">
        <f>Чорн!$G$17</f>
        <v>0</v>
      </c>
      <c r="G85" s="219"/>
      <c r="H85" s="874" t="str">
        <f>Чорн!$G$6</f>
        <v>надбавка за вислугу років </v>
      </c>
      <c r="I85" s="881"/>
      <c r="J85" s="881"/>
      <c r="K85" s="405">
        <f>Чорн!$G$18</f>
        <v>0</v>
      </c>
      <c r="L85" s="410"/>
      <c r="M85" s="219"/>
      <c r="N85" s="874" t="str">
        <f>Чорн!$G$6</f>
        <v>надбавка за вислугу років </v>
      </c>
      <c r="O85" s="881"/>
      <c r="P85" s="881"/>
      <c r="Q85" s="405">
        <f>Чорн!$G$19</f>
        <v>0</v>
      </c>
      <c r="R85" s="21"/>
    </row>
    <row r="86" spans="1:18" ht="12" customHeight="1">
      <c r="A86" s="21"/>
      <c r="B86" s="874">
        <f>Чорн!$H$6</f>
        <v>0</v>
      </c>
      <c r="C86" s="881"/>
      <c r="D86" s="881"/>
      <c r="E86" s="405">
        <f>Чорн!$H$17</f>
        <v>0</v>
      </c>
      <c r="G86" s="219"/>
      <c r="H86" s="874">
        <f>Чорн!$H$6</f>
        <v>0</v>
      </c>
      <c r="I86" s="881"/>
      <c r="J86" s="881"/>
      <c r="K86" s="405">
        <f>Чорн!$H$18</f>
        <v>0</v>
      </c>
      <c r="L86" s="410"/>
      <c r="M86" s="219"/>
      <c r="N86" s="874">
        <f>Чорн!$H$6</f>
        <v>0</v>
      </c>
      <c r="O86" s="881"/>
      <c r="P86" s="881"/>
      <c r="Q86" s="405">
        <f>Чорн!$H$19</f>
        <v>0</v>
      </c>
      <c r="R86" s="21"/>
    </row>
    <row r="87" spans="1:18" ht="12" customHeight="1">
      <c r="A87" s="21"/>
      <c r="B87" s="874" t="str">
        <f>Чорн!$I$6</f>
        <v>лист непрацезд.</v>
      </c>
      <c r="C87" s="881"/>
      <c r="D87" s="881"/>
      <c r="E87" s="405">
        <f>SUM(Чорн!$I$17:$J$17)</f>
        <v>0</v>
      </c>
      <c r="G87" s="219"/>
      <c r="H87" s="874" t="str">
        <f>Чорн!$I$6</f>
        <v>лист непрацезд.</v>
      </c>
      <c r="I87" s="881"/>
      <c r="J87" s="881"/>
      <c r="K87" s="405">
        <f>SUM(Чорн!$I$18:$J$18)</f>
        <v>0</v>
      </c>
      <c r="L87" s="410"/>
      <c r="M87" s="219"/>
      <c r="N87" s="874" t="str">
        <f>Чорн!$I$6</f>
        <v>лист непрацезд.</v>
      </c>
      <c r="O87" s="881"/>
      <c r="P87" s="881"/>
      <c r="Q87" s="405">
        <f>SUM(Чорн!$I$19:$J$19)</f>
        <v>0</v>
      </c>
      <c r="R87" s="21"/>
    </row>
    <row r="88" spans="1:18" ht="12" customHeight="1">
      <c r="A88" s="21"/>
      <c r="B88" s="874" t="str">
        <f>Чорн!$K$6</f>
        <v>відпускні</v>
      </c>
      <c r="C88" s="872"/>
      <c r="D88" s="872"/>
      <c r="E88" s="405">
        <f>Чорн!$K$17</f>
        <v>0</v>
      </c>
      <c r="G88" s="219"/>
      <c r="H88" s="874" t="str">
        <f>Чорн!$K$6</f>
        <v>відпускні</v>
      </c>
      <c r="I88" s="872"/>
      <c r="J88" s="872"/>
      <c r="K88" s="405">
        <f>Чорн!$K$18</f>
        <v>0</v>
      </c>
      <c r="L88" s="410"/>
      <c r="M88" s="219"/>
      <c r="N88" s="874" t="str">
        <f>Чорн!$K$6</f>
        <v>відпускні</v>
      </c>
      <c r="O88" s="872"/>
      <c r="P88" s="872"/>
      <c r="Q88" s="405">
        <f>Чорн!$K$19</f>
        <v>0</v>
      </c>
      <c r="R88" s="21"/>
    </row>
    <row r="89" spans="1:18" ht="12" customHeight="1">
      <c r="A89" s="21"/>
      <c r="B89" s="874" t="str">
        <f>Чорн!$L$6</f>
        <v>індексація за      03 місяць</v>
      </c>
      <c r="C89" s="872"/>
      <c r="D89" s="872"/>
      <c r="E89" s="405">
        <f>Чорн!$L$17</f>
        <v>0</v>
      </c>
      <c r="G89" s="219"/>
      <c r="H89" s="874" t="str">
        <f>Чорн!$L$6</f>
        <v>індексація за      03 місяць</v>
      </c>
      <c r="I89" s="872"/>
      <c r="J89" s="872"/>
      <c r="K89" s="405">
        <f>Чорн!$L$18</f>
        <v>0</v>
      </c>
      <c r="L89" s="410"/>
      <c r="M89" s="219"/>
      <c r="N89" s="874" t="str">
        <f>Чорн!$L$6</f>
        <v>індексація за      03 місяць</v>
      </c>
      <c r="O89" s="872"/>
      <c r="P89" s="872"/>
      <c r="Q89" s="405">
        <f>Чорн!$L$19</f>
        <v>0</v>
      </c>
      <c r="R89" s="21"/>
    </row>
    <row r="90" spans="1:18" ht="12" customHeight="1">
      <c r="A90" s="21"/>
      <c r="B90" s="874" t="str">
        <f>Чорн!$M$6</f>
        <v>допомога на оздоровлення</v>
      </c>
      <c r="C90" s="872"/>
      <c r="D90" s="872"/>
      <c r="E90" s="405">
        <f>Чорн!$M$17</f>
        <v>0</v>
      </c>
      <c r="G90" s="219"/>
      <c r="H90" s="874" t="str">
        <f>Чорн!$M$6</f>
        <v>допомога на оздоровлення</v>
      </c>
      <c r="I90" s="872"/>
      <c r="J90" s="872"/>
      <c r="K90" s="405">
        <f>Чорн!$M$18</f>
        <v>0</v>
      </c>
      <c r="L90" s="410"/>
      <c r="M90" s="219"/>
      <c r="N90" s="874" t="str">
        <f>Чорн!$M$6</f>
        <v>допомога на оздоровлення</v>
      </c>
      <c r="O90" s="872"/>
      <c r="P90" s="872"/>
      <c r="Q90" s="405">
        <f>Чорн!$M$19</f>
        <v>0</v>
      </c>
      <c r="R90" s="21"/>
    </row>
    <row r="91" spans="1:18" ht="12" customHeight="1">
      <c r="A91" s="21"/>
      <c r="B91" s="874" t="str">
        <f>Чорн!$N$6</f>
        <v>мат. допомога на вирішення соц питань</v>
      </c>
      <c r="C91" s="872"/>
      <c r="D91" s="872"/>
      <c r="E91" s="405">
        <f>Чорн!$N$17</f>
        <v>0</v>
      </c>
      <c r="G91" s="219"/>
      <c r="H91" s="874" t="str">
        <f>Чорн!$N$6</f>
        <v>мат. допомога на вирішення соц питань</v>
      </c>
      <c r="I91" s="872"/>
      <c r="J91" s="872"/>
      <c r="K91" s="405">
        <f>Чорн!$N$18</f>
        <v>0</v>
      </c>
      <c r="L91" s="410"/>
      <c r="M91" s="219"/>
      <c r="N91" s="874" t="str">
        <f>Чорн!$N$6</f>
        <v>мат. допомога на вирішення соц питань</v>
      </c>
      <c r="O91" s="872"/>
      <c r="P91" s="872"/>
      <c r="Q91" s="405">
        <f>Чорн!$N$19</f>
        <v>0</v>
      </c>
      <c r="R91" s="21"/>
    </row>
    <row r="92" spans="1:18" ht="12" customHeight="1">
      <c r="A92" s="21"/>
      <c r="B92" s="874" t="str">
        <f>Чорн!$O$6</f>
        <v>премія      за  02    місяць</v>
      </c>
      <c r="C92" s="872"/>
      <c r="D92" s="872"/>
      <c r="E92" s="405">
        <f>Чорн!$O$17</f>
        <v>0</v>
      </c>
      <c r="G92" s="219"/>
      <c r="H92" s="874" t="str">
        <f>Чорн!$O$6</f>
        <v>премія      за  02    місяць</v>
      </c>
      <c r="I92" s="872"/>
      <c r="J92" s="872"/>
      <c r="K92" s="405">
        <f>Чорн!$O$18</f>
        <v>0</v>
      </c>
      <c r="L92" s="410"/>
      <c r="M92" s="219"/>
      <c r="N92" s="874" t="str">
        <f>Чорн!$O$6</f>
        <v>премія      за  02    місяць</v>
      </c>
      <c r="O92" s="872"/>
      <c r="P92" s="872"/>
      <c r="Q92" s="405">
        <f>Чорн!$O$19</f>
        <v>0</v>
      </c>
      <c r="R92" s="21"/>
    </row>
    <row r="93" spans="1:18" ht="12" customHeight="1">
      <c r="A93" s="21"/>
      <c r="B93" s="874">
        <f>Чорн!$P$6</f>
        <v>0</v>
      </c>
      <c r="C93" s="872"/>
      <c r="D93" s="872"/>
      <c r="E93" s="405">
        <f>Чорн!$P$17</f>
        <v>0</v>
      </c>
      <c r="G93" s="219"/>
      <c r="H93" s="874">
        <f>Чорн!$P$6</f>
        <v>0</v>
      </c>
      <c r="I93" s="872"/>
      <c r="J93" s="872"/>
      <c r="K93" s="405">
        <f>Чорн!$P$18</f>
        <v>0</v>
      </c>
      <c r="L93" s="410"/>
      <c r="M93" s="219"/>
      <c r="N93" s="874">
        <f>Чорн!$P$6</f>
        <v>0</v>
      </c>
      <c r="O93" s="872"/>
      <c r="P93" s="872"/>
      <c r="Q93" s="405">
        <f>Чорн!$P$19</f>
        <v>0</v>
      </c>
      <c r="R93" s="21"/>
    </row>
    <row r="94" spans="1:18" ht="12" customHeight="1">
      <c r="A94" s="21"/>
      <c r="B94" s="876" t="s">
        <v>62</v>
      </c>
      <c r="C94" s="872"/>
      <c r="D94" s="872"/>
      <c r="E94" s="406">
        <f>Чорн!$Q$17</f>
        <v>0</v>
      </c>
      <c r="G94" s="219"/>
      <c r="H94" s="876" t="s">
        <v>62</v>
      </c>
      <c r="I94" s="872"/>
      <c r="J94" s="872"/>
      <c r="K94" s="406">
        <f>Чорн!$Q$18</f>
        <v>0</v>
      </c>
      <c r="L94" s="410"/>
      <c r="M94" s="219"/>
      <c r="N94" s="876" t="s">
        <v>62</v>
      </c>
      <c r="O94" s="872"/>
      <c r="P94" s="872"/>
      <c r="Q94" s="406">
        <f>Чорн!$Q$19</f>
        <v>0</v>
      </c>
      <c r="R94" s="21"/>
    </row>
    <row r="95" spans="1:18" ht="12" customHeight="1">
      <c r="A95" s="21"/>
      <c r="B95" s="877"/>
      <c r="C95" s="878"/>
      <c r="D95" s="879" t="s">
        <v>5</v>
      </c>
      <c r="E95" s="880"/>
      <c r="G95" s="219"/>
      <c r="H95" s="877"/>
      <c r="I95" s="878"/>
      <c r="J95" s="879" t="s">
        <v>5</v>
      </c>
      <c r="K95" s="880"/>
      <c r="L95" s="410"/>
      <c r="M95" s="219"/>
      <c r="N95" s="877"/>
      <c r="O95" s="878"/>
      <c r="P95" s="879" t="s">
        <v>5</v>
      </c>
      <c r="Q95" s="880"/>
      <c r="R95" s="21"/>
    </row>
    <row r="96" spans="1:18" ht="12" customHeight="1">
      <c r="A96" s="21"/>
      <c r="B96" s="874" t="str">
        <f>Чорн!$R$6</f>
        <v>за 1 половину місяця</v>
      </c>
      <c r="C96" s="872"/>
      <c r="D96" s="872"/>
      <c r="E96" s="217">
        <f>Чорн!$R$17</f>
        <v>0</v>
      </c>
      <c r="G96" s="219"/>
      <c r="H96" s="874" t="str">
        <f>Чорн!$R$6</f>
        <v>за 1 половину місяця</v>
      </c>
      <c r="I96" s="872"/>
      <c r="J96" s="872"/>
      <c r="K96" s="217">
        <f>Чорн!$R$18</f>
        <v>0</v>
      </c>
      <c r="L96" s="411"/>
      <c r="M96" s="219"/>
      <c r="N96" s="874" t="str">
        <f>Чорн!$R$6</f>
        <v>за 1 половину місяця</v>
      </c>
      <c r="O96" s="872"/>
      <c r="P96" s="872"/>
      <c r="Q96" s="217">
        <f>Чорн!$R$19</f>
        <v>0</v>
      </c>
      <c r="R96" s="21"/>
    </row>
    <row r="97" spans="1:18" ht="12" customHeight="1">
      <c r="A97" s="21"/>
      <c r="B97" s="874" t="str">
        <f>Чорн!$S$6</f>
        <v>прибутковий            податок</v>
      </c>
      <c r="C97" s="872"/>
      <c r="D97" s="872"/>
      <c r="E97" s="217">
        <f>Чорн!$S$17</f>
        <v>0</v>
      </c>
      <c r="G97" s="219"/>
      <c r="H97" s="874" t="str">
        <f>Чорн!$S$6</f>
        <v>прибутковий            податок</v>
      </c>
      <c r="I97" s="872"/>
      <c r="J97" s="872"/>
      <c r="K97" s="217">
        <f>Чорн!$S$18</f>
        <v>0</v>
      </c>
      <c r="L97" s="410"/>
      <c r="M97" s="219"/>
      <c r="N97" s="874" t="str">
        <f>Чорн!$S$6</f>
        <v>прибутковий            податок</v>
      </c>
      <c r="O97" s="872"/>
      <c r="P97" s="872"/>
      <c r="Q97" s="217">
        <f>Чорн!$S$19</f>
        <v>0</v>
      </c>
      <c r="R97" s="21"/>
    </row>
    <row r="98" spans="1:18" ht="12" customHeight="1">
      <c r="A98" s="21"/>
      <c r="B98" s="874" t="str">
        <f>Чорн!$T$6</f>
        <v>ЄСВ 6,1%</v>
      </c>
      <c r="C98" s="872"/>
      <c r="D98" s="872"/>
      <c r="E98" s="217">
        <f>Чорн!$T$17</f>
        <v>0</v>
      </c>
      <c r="G98" s="219"/>
      <c r="H98" s="874" t="str">
        <f>Чорн!$T$6</f>
        <v>ЄСВ 6,1%</v>
      </c>
      <c r="I98" s="872"/>
      <c r="J98" s="872"/>
      <c r="K98" s="217">
        <f>Чорн!$T$18</f>
        <v>0</v>
      </c>
      <c r="L98" s="410"/>
      <c r="M98" s="219"/>
      <c r="N98" s="874" t="str">
        <f>Чорн!$T$6</f>
        <v>ЄСВ 6,1%</v>
      </c>
      <c r="O98" s="872"/>
      <c r="P98" s="872"/>
      <c r="Q98" s="217">
        <f>Чорн!$T$19</f>
        <v>0</v>
      </c>
      <c r="R98" s="21"/>
    </row>
    <row r="99" spans="1:18" ht="12" customHeight="1">
      <c r="A99" s="21"/>
      <c r="B99" s="874" t="str">
        <f>Чорн!$U$6</f>
        <v>ЄСВ 3,6%</v>
      </c>
      <c r="C99" s="872"/>
      <c r="D99" s="872"/>
      <c r="E99" s="217">
        <f>Чорн!$U$17</f>
        <v>0</v>
      </c>
      <c r="G99" s="219"/>
      <c r="H99" s="874" t="str">
        <f>Чорн!$U$6</f>
        <v>ЄСВ 3,6%</v>
      </c>
      <c r="I99" s="872"/>
      <c r="J99" s="872"/>
      <c r="K99" s="217">
        <f>Чорн!$U$18</f>
        <v>0</v>
      </c>
      <c r="L99" s="410"/>
      <c r="M99" s="219"/>
      <c r="N99" s="874" t="str">
        <f>Чорн!$U$6</f>
        <v>ЄСВ 3,6%</v>
      </c>
      <c r="O99" s="872"/>
      <c r="P99" s="872"/>
      <c r="Q99" s="217">
        <f>Чорн!$U$19</f>
        <v>0</v>
      </c>
      <c r="R99" s="21"/>
    </row>
    <row r="100" spans="1:18" ht="12" customHeight="1">
      <c r="A100" s="21"/>
      <c r="B100" s="874" t="str">
        <f>Чорн!$V$6</f>
        <v>ЄСВ 2,0%</v>
      </c>
      <c r="C100" s="872"/>
      <c r="D100" s="872"/>
      <c r="E100" s="217">
        <f>Чорн!$V$17</f>
        <v>0</v>
      </c>
      <c r="G100" s="219"/>
      <c r="H100" s="874" t="str">
        <f>Чорн!$V$6</f>
        <v>ЄСВ 2,0%</v>
      </c>
      <c r="I100" s="872"/>
      <c r="J100" s="872"/>
      <c r="K100" s="217">
        <f>Чорн!$V$18</f>
        <v>0</v>
      </c>
      <c r="L100" s="411"/>
      <c r="M100" s="219"/>
      <c r="N100" s="874" t="str">
        <f>Чорн!$V$6</f>
        <v>ЄСВ 2,0%</v>
      </c>
      <c r="O100" s="872"/>
      <c r="P100" s="872"/>
      <c r="Q100" s="217">
        <f>Чорн!$V$19</f>
        <v>0</v>
      </c>
      <c r="R100" s="21"/>
    </row>
    <row r="101" spans="1:18" ht="12" customHeight="1">
      <c r="A101" s="21"/>
      <c r="B101" s="874" t="str">
        <f>Чорн!$W$6</f>
        <v>профвнески</v>
      </c>
      <c r="C101" s="872"/>
      <c r="D101" s="872"/>
      <c r="E101" s="217">
        <f>Чорн!$W$17</f>
        <v>0</v>
      </c>
      <c r="G101" s="219"/>
      <c r="H101" s="874" t="str">
        <f>Чорн!$W$6</f>
        <v>профвнески</v>
      </c>
      <c r="I101" s="872"/>
      <c r="J101" s="872"/>
      <c r="K101" s="217">
        <f>Чорн!$W$18</f>
        <v>0</v>
      </c>
      <c r="L101" s="410"/>
      <c r="M101" s="219"/>
      <c r="N101" s="874" t="str">
        <f>Чорн!$W$6</f>
        <v>профвнески</v>
      </c>
      <c r="O101" s="872"/>
      <c r="P101" s="872"/>
      <c r="Q101" s="217">
        <f>Чорн!$W$19</f>
        <v>0</v>
      </c>
      <c r="R101" s="21"/>
    </row>
    <row r="102" spans="1:18" ht="12" customHeight="1">
      <c r="A102" s="21"/>
      <c r="B102" s="874">
        <f>Чорн!$X$6</f>
        <v>0</v>
      </c>
      <c r="C102" s="872"/>
      <c r="D102" s="872"/>
      <c r="E102" s="217">
        <f>Чорн!$X$17</f>
        <v>0</v>
      </c>
      <c r="G102" s="219"/>
      <c r="H102" s="874">
        <f>Чорн!$X$6</f>
        <v>0</v>
      </c>
      <c r="I102" s="872"/>
      <c r="J102" s="872"/>
      <c r="K102" s="217">
        <f>Чорн!$X$18</f>
        <v>0</v>
      </c>
      <c r="L102" s="410"/>
      <c r="M102" s="219"/>
      <c r="N102" s="874">
        <f>Чорн!$X$6</f>
        <v>0</v>
      </c>
      <c r="O102" s="872"/>
      <c r="P102" s="872"/>
      <c r="Q102" s="217">
        <f>Чорн!$X$19</f>
        <v>0</v>
      </c>
      <c r="R102" s="21"/>
    </row>
    <row r="103" spans="1:18" ht="12" customHeight="1">
      <c r="A103" s="21"/>
      <c r="B103" s="875" t="str">
        <f>Чорн!$Y$6</f>
        <v>всього утримано</v>
      </c>
      <c r="C103" s="872"/>
      <c r="D103" s="872"/>
      <c r="E103" s="218">
        <f>Чорн!$Y$17</f>
        <v>0</v>
      </c>
      <c r="G103" s="219"/>
      <c r="H103" s="875" t="str">
        <f>Чорн!$Y$6</f>
        <v>всього утримано</v>
      </c>
      <c r="I103" s="872"/>
      <c r="J103" s="872"/>
      <c r="K103" s="218">
        <f>Чорн!$Y$18</f>
        <v>0</v>
      </c>
      <c r="L103" s="410"/>
      <c r="M103" s="219"/>
      <c r="N103" s="875" t="str">
        <f>Чорн!$Y$6</f>
        <v>всього утримано</v>
      </c>
      <c r="O103" s="872"/>
      <c r="P103" s="872"/>
      <c r="Q103" s="218">
        <f>Чорн!$Y$19</f>
        <v>0</v>
      </c>
      <c r="R103" s="21"/>
    </row>
    <row r="104" spans="1:18" ht="12" customHeight="1">
      <c r="A104" s="21"/>
      <c r="B104" s="871"/>
      <c r="C104" s="872"/>
      <c r="D104" s="872"/>
      <c r="E104" s="407"/>
      <c r="G104" s="219"/>
      <c r="H104" s="871"/>
      <c r="I104" s="872"/>
      <c r="J104" s="872"/>
      <c r="K104" s="407"/>
      <c r="L104" s="410"/>
      <c r="M104" s="219"/>
      <c r="N104" s="871"/>
      <c r="O104" s="872"/>
      <c r="P104" s="872"/>
      <c r="Q104" s="407"/>
      <c r="R104" s="21"/>
    </row>
    <row r="105" spans="1:18" ht="12" customHeight="1">
      <c r="A105" s="21"/>
      <c r="B105" s="873" t="str">
        <f>Чорн!$Z$5</f>
        <v>Сума   до перерах- ня</v>
      </c>
      <c r="C105" s="765"/>
      <c r="D105" s="765"/>
      <c r="E105" s="218">
        <f>Чорн!$Z$17</f>
        <v>0</v>
      </c>
      <c r="G105" s="219"/>
      <c r="H105" s="873" t="str">
        <f>Чорн!$Z$5</f>
        <v>Сума   до перерах- ня</v>
      </c>
      <c r="I105" s="765"/>
      <c r="J105" s="765"/>
      <c r="K105" s="218">
        <f>Чорн!$Z$18</f>
        <v>0</v>
      </c>
      <c r="L105" s="410"/>
      <c r="M105" s="219"/>
      <c r="N105" s="873" t="str">
        <f>Чорн!$Z$5</f>
        <v>Сума   до перерах- ня</v>
      </c>
      <c r="O105" s="765"/>
      <c r="P105" s="765"/>
      <c r="Q105" s="218">
        <f>Чорн!$Z$19</f>
        <v>0</v>
      </c>
      <c r="R105" s="21"/>
    </row>
    <row r="106" spans="1:18" ht="19.5" customHeight="1">
      <c r="A106" s="21"/>
      <c r="B106" s="61"/>
      <c r="C106" s="61"/>
      <c r="D106" s="61"/>
      <c r="E106" s="61"/>
      <c r="F106" s="412"/>
      <c r="G106" s="61"/>
      <c r="H106" s="61"/>
      <c r="I106" s="61"/>
      <c r="J106" s="61"/>
      <c r="K106" s="61"/>
      <c r="L106" s="412"/>
      <c r="M106" s="391"/>
      <c r="N106" s="61"/>
      <c r="O106" s="61"/>
      <c r="P106" s="61"/>
      <c r="Q106" s="61"/>
      <c r="R106" s="21"/>
    </row>
    <row r="107" spans="1:18" ht="19.5" customHeight="1">
      <c r="A107" s="21"/>
      <c r="B107" s="105"/>
      <c r="C107" s="886"/>
      <c r="D107" s="886"/>
      <c r="E107" s="21"/>
      <c r="G107" s="219"/>
      <c r="H107" s="105"/>
      <c r="I107" s="886"/>
      <c r="J107" s="886"/>
      <c r="K107" s="21"/>
      <c r="L107" s="21"/>
      <c r="M107" s="471"/>
      <c r="N107" s="105"/>
      <c r="O107" s="886"/>
      <c r="P107" s="886"/>
      <c r="Q107" s="21"/>
      <c r="R107" s="21"/>
    </row>
    <row r="108" spans="1:18" ht="12" customHeight="1">
      <c r="A108" s="21"/>
      <c r="B108" s="765" t="s">
        <v>352</v>
      </c>
      <c r="C108" s="765"/>
      <c r="D108" s="887" t="str">
        <f>Чорн!$M$3</f>
        <v>березень</v>
      </c>
      <c r="E108" s="887"/>
      <c r="G108" s="219"/>
      <c r="H108" s="765" t="s">
        <v>352</v>
      </c>
      <c r="I108" s="765"/>
      <c r="J108" s="887" t="str">
        <f>Чорн!$M$3</f>
        <v>березень</v>
      </c>
      <c r="K108" s="887"/>
      <c r="L108" s="136"/>
      <c r="M108" s="219"/>
      <c r="N108" s="765" t="s">
        <v>352</v>
      </c>
      <c r="O108" s="765"/>
      <c r="P108" s="887" t="str">
        <f>Чорн!$M$3</f>
        <v>березень</v>
      </c>
      <c r="Q108" s="887"/>
      <c r="R108" s="21"/>
    </row>
    <row r="109" spans="1:18" ht="12" customHeight="1">
      <c r="A109" s="21"/>
      <c r="B109" s="901">
        <f>Чорн!$C$20</f>
        <v>0</v>
      </c>
      <c r="C109" s="902"/>
      <c r="D109" s="882" t="s">
        <v>3</v>
      </c>
      <c r="E109" s="883"/>
      <c r="G109" s="219"/>
      <c r="H109" s="901">
        <f>Чорн!$C$21</f>
        <v>0</v>
      </c>
      <c r="I109" s="902"/>
      <c r="J109" s="882" t="s">
        <v>3</v>
      </c>
      <c r="K109" s="883"/>
      <c r="L109" s="410"/>
      <c r="M109" s="219"/>
      <c r="N109" s="901">
        <f>Чорн!$C$22</f>
        <v>0</v>
      </c>
      <c r="O109" s="902"/>
      <c r="P109" s="882" t="s">
        <v>3</v>
      </c>
      <c r="Q109" s="883"/>
      <c r="R109" s="21"/>
    </row>
    <row r="110" spans="1:18" ht="12" customHeight="1">
      <c r="A110" s="21"/>
      <c r="B110" s="884" t="str">
        <f>Чорн!$E$6</f>
        <v>посадовий оклад</v>
      </c>
      <c r="C110" s="885"/>
      <c r="D110" s="885"/>
      <c r="E110" s="408">
        <f>Чорн!$E$20</f>
        <v>0</v>
      </c>
      <c r="G110" s="219"/>
      <c r="H110" s="884" t="str">
        <f>Чорн!$E$6</f>
        <v>посадовий оклад</v>
      </c>
      <c r="I110" s="885"/>
      <c r="J110" s="885"/>
      <c r="K110" s="408">
        <f>Чорн!$E$21</f>
        <v>0</v>
      </c>
      <c r="L110" s="410"/>
      <c r="M110" s="219"/>
      <c r="N110" s="884" t="str">
        <f>Чорн!$E$6</f>
        <v>посадовий оклад</v>
      </c>
      <c r="O110" s="885"/>
      <c r="P110" s="885"/>
      <c r="Q110" s="408">
        <f>Чорн!$E$22</f>
        <v>0</v>
      </c>
      <c r="R110" s="21"/>
    </row>
    <row r="111" spans="1:18" ht="12" customHeight="1">
      <c r="A111" s="21"/>
      <c r="B111" s="874" t="str">
        <f>Чорн!$F$6</f>
        <v>доплата за ранг</v>
      </c>
      <c r="C111" s="881"/>
      <c r="D111" s="881"/>
      <c r="E111" s="405">
        <f>Чорн!$F$20</f>
        <v>0</v>
      </c>
      <c r="G111" s="219"/>
      <c r="H111" s="874" t="str">
        <f>Чорн!$F$6</f>
        <v>доплата за ранг</v>
      </c>
      <c r="I111" s="881"/>
      <c r="J111" s="881"/>
      <c r="K111" s="405">
        <f>Чорн!$F$21</f>
        <v>0</v>
      </c>
      <c r="L111" s="410"/>
      <c r="M111" s="219"/>
      <c r="N111" s="874" t="str">
        <f>Чорн!$F$6</f>
        <v>доплата за ранг</v>
      </c>
      <c r="O111" s="881"/>
      <c r="P111" s="881"/>
      <c r="Q111" s="405">
        <f>Чорн!$F$22</f>
        <v>0</v>
      </c>
      <c r="R111" s="21"/>
    </row>
    <row r="112" spans="1:18" ht="12" customHeight="1">
      <c r="A112" s="21"/>
      <c r="B112" s="874" t="str">
        <f>Чорн!$G$6</f>
        <v>надбавка за вислугу років </v>
      </c>
      <c r="C112" s="881"/>
      <c r="D112" s="881"/>
      <c r="E112" s="405">
        <f>Чорн!$G$20</f>
        <v>0</v>
      </c>
      <c r="G112" s="219"/>
      <c r="H112" s="874" t="str">
        <f>Чорн!$G$6</f>
        <v>надбавка за вислугу років </v>
      </c>
      <c r="I112" s="881"/>
      <c r="J112" s="881"/>
      <c r="K112" s="405">
        <f>Чорн!$G$21</f>
        <v>0</v>
      </c>
      <c r="L112" s="410"/>
      <c r="M112" s="219"/>
      <c r="N112" s="874" t="str">
        <f>Чорн!$G$6</f>
        <v>надбавка за вислугу років </v>
      </c>
      <c r="O112" s="881"/>
      <c r="P112" s="881"/>
      <c r="Q112" s="405">
        <f>Чорн!$G$22</f>
        <v>0</v>
      </c>
      <c r="R112" s="21"/>
    </row>
    <row r="113" spans="1:18" ht="12" customHeight="1">
      <c r="A113" s="21"/>
      <c r="B113" s="874">
        <f>Чорн!$H$6</f>
        <v>0</v>
      </c>
      <c r="C113" s="881"/>
      <c r="D113" s="881"/>
      <c r="E113" s="405">
        <f>Чорн!$H$20</f>
        <v>0</v>
      </c>
      <c r="G113" s="219"/>
      <c r="H113" s="874">
        <f>Чорн!$H$6</f>
        <v>0</v>
      </c>
      <c r="I113" s="881"/>
      <c r="J113" s="881"/>
      <c r="K113" s="405">
        <f>Чорн!$H$21</f>
        <v>0</v>
      </c>
      <c r="L113" s="410"/>
      <c r="M113" s="219"/>
      <c r="N113" s="874">
        <f>Чорн!$H$6</f>
        <v>0</v>
      </c>
      <c r="O113" s="881"/>
      <c r="P113" s="881"/>
      <c r="Q113" s="405">
        <f>Чорн!$H$22</f>
        <v>0</v>
      </c>
      <c r="R113" s="21"/>
    </row>
    <row r="114" spans="1:18" ht="12" customHeight="1">
      <c r="A114" s="21"/>
      <c r="B114" s="874" t="str">
        <f>Чорн!$I$6</f>
        <v>лист непрацезд.</v>
      </c>
      <c r="C114" s="881"/>
      <c r="D114" s="881"/>
      <c r="E114" s="405">
        <f>SUM(Чорн!$I$20:$J$20)</f>
        <v>0</v>
      </c>
      <c r="G114" s="219"/>
      <c r="H114" s="874" t="str">
        <f>Чорн!$I$6</f>
        <v>лист непрацезд.</v>
      </c>
      <c r="I114" s="881"/>
      <c r="J114" s="881"/>
      <c r="K114" s="405">
        <f>SUM(Чорн!$I$21:$J$21)</f>
        <v>0</v>
      </c>
      <c r="L114" s="410"/>
      <c r="M114" s="219"/>
      <c r="N114" s="874" t="str">
        <f>Чорн!$I$6</f>
        <v>лист непрацезд.</v>
      </c>
      <c r="O114" s="881"/>
      <c r="P114" s="881"/>
      <c r="Q114" s="405">
        <f>SUM(Чорн!$I$22:$J$22)</f>
        <v>0</v>
      </c>
      <c r="R114" s="21"/>
    </row>
    <row r="115" spans="1:18" ht="12" customHeight="1">
      <c r="A115" s="21"/>
      <c r="B115" s="874" t="str">
        <f>Чорн!$K$6</f>
        <v>відпускні</v>
      </c>
      <c r="C115" s="872"/>
      <c r="D115" s="872"/>
      <c r="E115" s="405">
        <f>Чорн!$K$20</f>
        <v>0</v>
      </c>
      <c r="G115" s="219"/>
      <c r="H115" s="874" t="str">
        <f>Чорн!$K$6</f>
        <v>відпускні</v>
      </c>
      <c r="I115" s="872"/>
      <c r="J115" s="872"/>
      <c r="K115" s="405">
        <f>Чорн!$K$21</f>
        <v>0</v>
      </c>
      <c r="L115" s="410"/>
      <c r="M115" s="219"/>
      <c r="N115" s="874" t="str">
        <f>Чорн!$K$6</f>
        <v>відпускні</v>
      </c>
      <c r="O115" s="872"/>
      <c r="P115" s="872"/>
      <c r="Q115" s="405">
        <f>Чорн!$K$22</f>
        <v>0</v>
      </c>
      <c r="R115" s="21"/>
    </row>
    <row r="116" spans="1:18" ht="12" customHeight="1">
      <c r="A116" s="21"/>
      <c r="B116" s="874" t="str">
        <f>Чорн!$L$6</f>
        <v>індексація за      03 місяць</v>
      </c>
      <c r="C116" s="872"/>
      <c r="D116" s="872"/>
      <c r="E116" s="405">
        <f>Чорн!$L$20</f>
        <v>0</v>
      </c>
      <c r="G116" s="219"/>
      <c r="H116" s="874" t="str">
        <f>Чорн!$L$6</f>
        <v>індексація за      03 місяць</v>
      </c>
      <c r="I116" s="872"/>
      <c r="J116" s="872"/>
      <c r="K116" s="405">
        <f>Чорн!$L$21</f>
        <v>0</v>
      </c>
      <c r="L116" s="410"/>
      <c r="M116" s="219"/>
      <c r="N116" s="874" t="str">
        <f>Чорн!$L$6</f>
        <v>індексація за      03 місяць</v>
      </c>
      <c r="O116" s="872"/>
      <c r="P116" s="872"/>
      <c r="Q116" s="405">
        <f>Чорн!$L$22</f>
        <v>0</v>
      </c>
      <c r="R116" s="21"/>
    </row>
    <row r="117" spans="1:18" ht="12" customHeight="1">
      <c r="A117" s="21"/>
      <c r="B117" s="874" t="str">
        <f>Чорн!$M$6</f>
        <v>допомога на оздоровлення</v>
      </c>
      <c r="C117" s="872"/>
      <c r="D117" s="872"/>
      <c r="E117" s="405">
        <f>Чорн!$M$20</f>
        <v>0</v>
      </c>
      <c r="G117" s="219"/>
      <c r="H117" s="874" t="str">
        <f>Чорн!$M$6</f>
        <v>допомога на оздоровлення</v>
      </c>
      <c r="I117" s="872"/>
      <c r="J117" s="872"/>
      <c r="K117" s="405">
        <f>Чорн!$M$21</f>
        <v>0</v>
      </c>
      <c r="L117" s="410"/>
      <c r="M117" s="219"/>
      <c r="N117" s="874" t="str">
        <f>Чорн!$M$6</f>
        <v>допомога на оздоровлення</v>
      </c>
      <c r="O117" s="872"/>
      <c r="P117" s="872"/>
      <c r="Q117" s="405">
        <f>Чорн!$M$22</f>
        <v>0</v>
      </c>
      <c r="R117" s="21"/>
    </row>
    <row r="118" spans="1:18" ht="12" customHeight="1">
      <c r="A118" s="21"/>
      <c r="B118" s="874" t="str">
        <f>Чорн!$N$6</f>
        <v>мат. допомога на вирішення соц питань</v>
      </c>
      <c r="C118" s="872"/>
      <c r="D118" s="872"/>
      <c r="E118" s="405">
        <f>Чорн!$N$20</f>
        <v>0</v>
      </c>
      <c r="G118" s="219"/>
      <c r="H118" s="874" t="str">
        <f>Чорн!$N$6</f>
        <v>мат. допомога на вирішення соц питань</v>
      </c>
      <c r="I118" s="872"/>
      <c r="J118" s="872"/>
      <c r="K118" s="405">
        <f>Чорн!$N$21</f>
        <v>0</v>
      </c>
      <c r="L118" s="410"/>
      <c r="M118" s="219"/>
      <c r="N118" s="874" t="str">
        <f>Чорн!$N$6</f>
        <v>мат. допомога на вирішення соц питань</v>
      </c>
      <c r="O118" s="872"/>
      <c r="P118" s="872"/>
      <c r="Q118" s="405">
        <f>Чорн!$N$22</f>
        <v>0</v>
      </c>
      <c r="R118" s="21"/>
    </row>
    <row r="119" spans="1:18" ht="12" customHeight="1">
      <c r="A119" s="21"/>
      <c r="B119" s="874" t="str">
        <f>Чорн!$O$6</f>
        <v>премія      за  02    місяць</v>
      </c>
      <c r="C119" s="872"/>
      <c r="D119" s="872"/>
      <c r="E119" s="405">
        <f>Чорн!$O$20</f>
        <v>0</v>
      </c>
      <c r="G119" s="219"/>
      <c r="H119" s="874" t="str">
        <f>Чорн!$O$6</f>
        <v>премія      за  02    місяць</v>
      </c>
      <c r="I119" s="872"/>
      <c r="J119" s="872"/>
      <c r="K119" s="405">
        <f>Чорн!$O$21</f>
        <v>0</v>
      </c>
      <c r="L119" s="410"/>
      <c r="M119" s="219"/>
      <c r="N119" s="874" t="str">
        <f>Чорн!$O$6</f>
        <v>премія      за  02    місяць</v>
      </c>
      <c r="O119" s="872"/>
      <c r="P119" s="872"/>
      <c r="Q119" s="405">
        <f>Чорн!$O$22</f>
        <v>0</v>
      </c>
      <c r="R119" s="21"/>
    </row>
    <row r="120" spans="1:18" ht="12" customHeight="1">
      <c r="A120" s="21"/>
      <c r="B120" s="874">
        <f>Чорн!$P$6</f>
        <v>0</v>
      </c>
      <c r="C120" s="872"/>
      <c r="D120" s="872"/>
      <c r="E120" s="405">
        <f>Чорн!$P$20</f>
        <v>0</v>
      </c>
      <c r="G120" s="219"/>
      <c r="H120" s="874">
        <f>Чорн!$P$6</f>
        <v>0</v>
      </c>
      <c r="I120" s="872"/>
      <c r="J120" s="872"/>
      <c r="K120" s="405">
        <f>Чорн!$P$21</f>
        <v>0</v>
      </c>
      <c r="L120" s="410"/>
      <c r="M120" s="219"/>
      <c r="N120" s="874">
        <f>Чорн!$P$6</f>
        <v>0</v>
      </c>
      <c r="O120" s="872"/>
      <c r="P120" s="872"/>
      <c r="Q120" s="405">
        <f>Чорн!$P$22</f>
        <v>0</v>
      </c>
      <c r="R120" s="21"/>
    </row>
    <row r="121" spans="1:18" ht="12" customHeight="1">
      <c r="A121" s="21"/>
      <c r="B121" s="876" t="s">
        <v>62</v>
      </c>
      <c r="C121" s="872"/>
      <c r="D121" s="872"/>
      <c r="E121" s="406">
        <f>Чорн!$Q$20</f>
        <v>0</v>
      </c>
      <c r="G121" s="219"/>
      <c r="H121" s="876" t="s">
        <v>62</v>
      </c>
      <c r="I121" s="872"/>
      <c r="J121" s="872"/>
      <c r="K121" s="406">
        <f>Чорн!$Q$21</f>
        <v>0</v>
      </c>
      <c r="L121" s="410"/>
      <c r="M121" s="219"/>
      <c r="N121" s="876" t="s">
        <v>62</v>
      </c>
      <c r="O121" s="872"/>
      <c r="P121" s="872"/>
      <c r="Q121" s="406">
        <f>Чорн!$Q$22</f>
        <v>0</v>
      </c>
      <c r="R121" s="21"/>
    </row>
    <row r="122" spans="1:18" ht="12" customHeight="1">
      <c r="A122" s="21"/>
      <c r="B122" s="877"/>
      <c r="C122" s="878"/>
      <c r="D122" s="879" t="s">
        <v>5</v>
      </c>
      <c r="E122" s="880"/>
      <c r="G122" s="219"/>
      <c r="H122" s="877"/>
      <c r="I122" s="878"/>
      <c r="J122" s="879" t="s">
        <v>5</v>
      </c>
      <c r="K122" s="880"/>
      <c r="L122" s="410"/>
      <c r="M122" s="219"/>
      <c r="N122" s="877"/>
      <c r="O122" s="878"/>
      <c r="P122" s="879" t="s">
        <v>5</v>
      </c>
      <c r="Q122" s="880"/>
      <c r="R122" s="21"/>
    </row>
    <row r="123" spans="1:18" ht="12" customHeight="1">
      <c r="A123" s="21"/>
      <c r="B123" s="874" t="str">
        <f>Чорн!$R$6</f>
        <v>за 1 половину місяця</v>
      </c>
      <c r="C123" s="872"/>
      <c r="D123" s="872"/>
      <c r="E123" s="217">
        <f>Чорн!$R$20</f>
        <v>0</v>
      </c>
      <c r="G123" s="219"/>
      <c r="H123" s="874" t="str">
        <f>Чорн!$R$6</f>
        <v>за 1 половину місяця</v>
      </c>
      <c r="I123" s="872"/>
      <c r="J123" s="872"/>
      <c r="K123" s="217">
        <f>Чорн!$R$21</f>
        <v>0</v>
      </c>
      <c r="L123" s="411"/>
      <c r="M123" s="219"/>
      <c r="N123" s="874" t="str">
        <f>Чорн!$R$6</f>
        <v>за 1 половину місяця</v>
      </c>
      <c r="O123" s="872"/>
      <c r="P123" s="872"/>
      <c r="Q123" s="217">
        <f>Чорн!$R$22</f>
        <v>0</v>
      </c>
      <c r="R123" s="21"/>
    </row>
    <row r="124" spans="1:18" ht="12" customHeight="1">
      <c r="A124" s="21"/>
      <c r="B124" s="874" t="str">
        <f>Чорн!$S$6</f>
        <v>прибутковий            податок</v>
      </c>
      <c r="C124" s="872"/>
      <c r="D124" s="872"/>
      <c r="E124" s="217">
        <f>Чорн!$S$20</f>
        <v>0</v>
      </c>
      <c r="G124" s="219"/>
      <c r="H124" s="874" t="str">
        <f>Чорн!$S$6</f>
        <v>прибутковий            податок</v>
      </c>
      <c r="I124" s="872"/>
      <c r="J124" s="872"/>
      <c r="K124" s="217">
        <f>Чорн!$S$21</f>
        <v>0</v>
      </c>
      <c r="L124" s="410"/>
      <c r="M124" s="219"/>
      <c r="N124" s="874" t="str">
        <f>Чорн!$S$6</f>
        <v>прибутковий            податок</v>
      </c>
      <c r="O124" s="872"/>
      <c r="P124" s="872"/>
      <c r="Q124" s="217">
        <f>Чорн!$S$22</f>
        <v>0</v>
      </c>
      <c r="R124" s="21"/>
    </row>
    <row r="125" spans="1:18" ht="12" customHeight="1">
      <c r="A125" s="21"/>
      <c r="B125" s="874" t="str">
        <f>Чорн!$T$6</f>
        <v>ЄСВ 6,1%</v>
      </c>
      <c r="C125" s="872"/>
      <c r="D125" s="872"/>
      <c r="E125" s="217">
        <f>Чорн!$T$20</f>
        <v>0</v>
      </c>
      <c r="G125" s="219"/>
      <c r="H125" s="874" t="str">
        <f>Чорн!$T$6</f>
        <v>ЄСВ 6,1%</v>
      </c>
      <c r="I125" s="872"/>
      <c r="J125" s="872"/>
      <c r="K125" s="217">
        <f>Чорн!$T$21</f>
        <v>0</v>
      </c>
      <c r="L125" s="410"/>
      <c r="M125" s="219"/>
      <c r="N125" s="874" t="str">
        <f>Чорн!$T$6</f>
        <v>ЄСВ 6,1%</v>
      </c>
      <c r="O125" s="872"/>
      <c r="P125" s="872"/>
      <c r="Q125" s="217">
        <f>Чорн!$T$22</f>
        <v>0</v>
      </c>
      <c r="R125" s="21"/>
    </row>
    <row r="126" spans="1:18" ht="12" customHeight="1">
      <c r="A126" s="21"/>
      <c r="B126" s="874" t="str">
        <f>Чорн!$U$6</f>
        <v>ЄСВ 3,6%</v>
      </c>
      <c r="C126" s="872"/>
      <c r="D126" s="872"/>
      <c r="E126" s="217">
        <f>Чорн!$U$20</f>
        <v>0</v>
      </c>
      <c r="G126" s="219"/>
      <c r="H126" s="874" t="str">
        <f>Чорн!$U$6</f>
        <v>ЄСВ 3,6%</v>
      </c>
      <c r="I126" s="872"/>
      <c r="J126" s="872"/>
      <c r="K126" s="217">
        <f>Чорн!$U$21</f>
        <v>0</v>
      </c>
      <c r="L126" s="410"/>
      <c r="M126" s="219"/>
      <c r="N126" s="874" t="str">
        <f>Чорн!$U$6</f>
        <v>ЄСВ 3,6%</v>
      </c>
      <c r="O126" s="872"/>
      <c r="P126" s="872"/>
      <c r="Q126" s="217">
        <f>Чорн!$U$22</f>
        <v>0</v>
      </c>
      <c r="R126" s="21"/>
    </row>
    <row r="127" spans="1:18" ht="12" customHeight="1">
      <c r="A127" s="21"/>
      <c r="B127" s="874" t="str">
        <f>Чорн!$V$6</f>
        <v>ЄСВ 2,0%</v>
      </c>
      <c r="C127" s="872"/>
      <c r="D127" s="872"/>
      <c r="E127" s="217">
        <f>Чорн!$V$20</f>
        <v>0</v>
      </c>
      <c r="G127" s="219"/>
      <c r="H127" s="874" t="str">
        <f>Чорн!$V$6</f>
        <v>ЄСВ 2,0%</v>
      </c>
      <c r="I127" s="872"/>
      <c r="J127" s="872"/>
      <c r="K127" s="217">
        <f>Чорн!$V$21</f>
        <v>0</v>
      </c>
      <c r="L127" s="411"/>
      <c r="M127" s="219"/>
      <c r="N127" s="874" t="str">
        <f>Чорн!$V$6</f>
        <v>ЄСВ 2,0%</v>
      </c>
      <c r="O127" s="872"/>
      <c r="P127" s="872"/>
      <c r="Q127" s="217">
        <f>Чорн!$V$22</f>
        <v>0</v>
      </c>
      <c r="R127" s="21"/>
    </row>
    <row r="128" spans="1:18" ht="12" customHeight="1">
      <c r="A128" s="21"/>
      <c r="B128" s="874" t="str">
        <f>Чорн!$W$6</f>
        <v>профвнески</v>
      </c>
      <c r="C128" s="872"/>
      <c r="D128" s="872"/>
      <c r="E128" s="217">
        <f>Чорн!$W$20</f>
        <v>0</v>
      </c>
      <c r="G128" s="219"/>
      <c r="H128" s="874" t="str">
        <f>Чорн!$W$6</f>
        <v>профвнески</v>
      </c>
      <c r="I128" s="872"/>
      <c r="J128" s="872"/>
      <c r="K128" s="217">
        <f>Чорн!$W$21</f>
        <v>0</v>
      </c>
      <c r="L128" s="410"/>
      <c r="M128" s="219"/>
      <c r="N128" s="874" t="str">
        <f>Чорн!$W$6</f>
        <v>профвнески</v>
      </c>
      <c r="O128" s="872"/>
      <c r="P128" s="872"/>
      <c r="Q128" s="217">
        <f>Чорн!$W$22</f>
        <v>0</v>
      </c>
      <c r="R128" s="21"/>
    </row>
    <row r="129" spans="1:18" ht="12" customHeight="1">
      <c r="A129" s="21"/>
      <c r="B129" s="874">
        <f>Чорн!$X$6</f>
        <v>0</v>
      </c>
      <c r="C129" s="872"/>
      <c r="D129" s="872"/>
      <c r="E129" s="217">
        <f>Чорн!$X$20</f>
        <v>0</v>
      </c>
      <c r="G129" s="219"/>
      <c r="H129" s="874">
        <f>Чорн!$X$6</f>
        <v>0</v>
      </c>
      <c r="I129" s="872"/>
      <c r="J129" s="872"/>
      <c r="K129" s="217">
        <f>Чорн!$X$21</f>
        <v>0</v>
      </c>
      <c r="L129" s="410"/>
      <c r="M129" s="219"/>
      <c r="N129" s="874">
        <f>Чорн!$X$6</f>
        <v>0</v>
      </c>
      <c r="O129" s="872"/>
      <c r="P129" s="872"/>
      <c r="Q129" s="217">
        <f>Чорн!$X$22</f>
        <v>0</v>
      </c>
      <c r="R129" s="21"/>
    </row>
    <row r="130" spans="1:18" ht="12" customHeight="1">
      <c r="A130" s="21"/>
      <c r="B130" s="875" t="str">
        <f>Чорн!$Y$6</f>
        <v>всього утримано</v>
      </c>
      <c r="C130" s="872"/>
      <c r="D130" s="872"/>
      <c r="E130" s="218">
        <f>Чорн!$Y$20</f>
        <v>0</v>
      </c>
      <c r="G130" s="219"/>
      <c r="H130" s="875" t="str">
        <f>Чорн!$Y$6</f>
        <v>всього утримано</v>
      </c>
      <c r="I130" s="872"/>
      <c r="J130" s="872"/>
      <c r="K130" s="218">
        <f>Чорн!$Y$21</f>
        <v>0</v>
      </c>
      <c r="L130" s="410"/>
      <c r="M130" s="219"/>
      <c r="N130" s="875" t="str">
        <f>Чорн!$Y$6</f>
        <v>всього утримано</v>
      </c>
      <c r="O130" s="872"/>
      <c r="P130" s="872"/>
      <c r="Q130" s="218">
        <f>Чорн!$Y$22</f>
        <v>0</v>
      </c>
      <c r="R130" s="21"/>
    </row>
    <row r="131" spans="1:18" ht="12" customHeight="1">
      <c r="A131" s="21"/>
      <c r="B131" s="871"/>
      <c r="C131" s="872"/>
      <c r="D131" s="872"/>
      <c r="E131" s="407"/>
      <c r="G131" s="219"/>
      <c r="H131" s="871"/>
      <c r="I131" s="872"/>
      <c r="J131" s="872"/>
      <c r="K131" s="407"/>
      <c r="L131" s="410"/>
      <c r="M131" s="219"/>
      <c r="N131" s="871"/>
      <c r="O131" s="872"/>
      <c r="P131" s="872"/>
      <c r="Q131" s="407"/>
      <c r="R131" s="21"/>
    </row>
    <row r="132" spans="1:18" ht="12" customHeight="1">
      <c r="A132" s="21"/>
      <c r="B132" s="873" t="str">
        <f>Чорн!$Z$5</f>
        <v>Сума   до перерах- ня</v>
      </c>
      <c r="C132" s="765"/>
      <c r="D132" s="765"/>
      <c r="E132" s="218">
        <f>Чорн!$Z$20</f>
        <v>0</v>
      </c>
      <c r="G132" s="219"/>
      <c r="H132" s="873" t="str">
        <f>Чорн!$Z$5</f>
        <v>Сума   до перерах- ня</v>
      </c>
      <c r="I132" s="765"/>
      <c r="J132" s="765"/>
      <c r="K132" s="218">
        <f>Чорн!$Z$21</f>
        <v>0</v>
      </c>
      <c r="L132" s="410"/>
      <c r="M132" s="219"/>
      <c r="N132" s="873" t="str">
        <f>Чорн!$Z$5</f>
        <v>Сума   до перерах- ня</v>
      </c>
      <c r="O132" s="765"/>
      <c r="P132" s="765"/>
      <c r="Q132" s="218">
        <f>Чорн!$Z$22</f>
        <v>0</v>
      </c>
      <c r="R132" s="21"/>
    </row>
    <row r="133" spans="7:13" ht="12.75">
      <c r="G133" s="219"/>
      <c r="M133" s="219"/>
    </row>
  </sheetData>
  <sheetProtection sheet="1" objects="1" scenarios="1" formatCells="0" selectLockedCells="1"/>
  <mergeCells count="429">
    <mergeCell ref="B105:D105"/>
    <mergeCell ref="H105:J105"/>
    <mergeCell ref="N105:P105"/>
    <mergeCell ref="B103:D103"/>
    <mergeCell ref="H103:J103"/>
    <mergeCell ref="N103:P103"/>
    <mergeCell ref="B104:D104"/>
    <mergeCell ref="H104:J104"/>
    <mergeCell ref="N104:P104"/>
    <mergeCell ref="B101:D101"/>
    <mergeCell ref="H101:J101"/>
    <mergeCell ref="N101:P101"/>
    <mergeCell ref="B102:D102"/>
    <mergeCell ref="H102:J102"/>
    <mergeCell ref="N102:P102"/>
    <mergeCell ref="B99:D99"/>
    <mergeCell ref="H99:J99"/>
    <mergeCell ref="N99:P99"/>
    <mergeCell ref="B100:D100"/>
    <mergeCell ref="H100:J100"/>
    <mergeCell ref="N100:P100"/>
    <mergeCell ref="B97:D97"/>
    <mergeCell ref="H97:J97"/>
    <mergeCell ref="N97:P97"/>
    <mergeCell ref="B98:D98"/>
    <mergeCell ref="H98:J98"/>
    <mergeCell ref="N98:P98"/>
    <mergeCell ref="N95:O95"/>
    <mergeCell ref="P95:Q95"/>
    <mergeCell ref="B96:D96"/>
    <mergeCell ref="H96:J96"/>
    <mergeCell ref="N96:P96"/>
    <mergeCell ref="B95:C95"/>
    <mergeCell ref="D95:E95"/>
    <mergeCell ref="H95:I95"/>
    <mergeCell ref="J95:K95"/>
    <mergeCell ref="B93:D93"/>
    <mergeCell ref="H93:J93"/>
    <mergeCell ref="N93:P93"/>
    <mergeCell ref="B94:D94"/>
    <mergeCell ref="H94:J94"/>
    <mergeCell ref="N94:P94"/>
    <mergeCell ref="B91:D91"/>
    <mergeCell ref="H91:J91"/>
    <mergeCell ref="N91:P91"/>
    <mergeCell ref="B92:D92"/>
    <mergeCell ref="H92:J92"/>
    <mergeCell ref="N92:P92"/>
    <mergeCell ref="B89:D89"/>
    <mergeCell ref="H89:J89"/>
    <mergeCell ref="N89:P89"/>
    <mergeCell ref="B90:D90"/>
    <mergeCell ref="H90:J90"/>
    <mergeCell ref="N90:P90"/>
    <mergeCell ref="B87:D87"/>
    <mergeCell ref="H87:J87"/>
    <mergeCell ref="N87:P87"/>
    <mergeCell ref="B88:D88"/>
    <mergeCell ref="H88:J88"/>
    <mergeCell ref="N88:P88"/>
    <mergeCell ref="B85:D85"/>
    <mergeCell ref="H85:J85"/>
    <mergeCell ref="N85:P85"/>
    <mergeCell ref="B86:D86"/>
    <mergeCell ref="H86:J86"/>
    <mergeCell ref="N86:P86"/>
    <mergeCell ref="B83:D83"/>
    <mergeCell ref="H83:J83"/>
    <mergeCell ref="N83:P83"/>
    <mergeCell ref="B84:D84"/>
    <mergeCell ref="H84:J84"/>
    <mergeCell ref="N84:P84"/>
    <mergeCell ref="N81:O81"/>
    <mergeCell ref="P81:Q81"/>
    <mergeCell ref="B82:C82"/>
    <mergeCell ref="D82:E82"/>
    <mergeCell ref="H82:I82"/>
    <mergeCell ref="J82:K82"/>
    <mergeCell ref="N82:O82"/>
    <mergeCell ref="P82:Q82"/>
    <mergeCell ref="B81:C81"/>
    <mergeCell ref="D81:E81"/>
    <mergeCell ref="H81:I81"/>
    <mergeCell ref="J81:K81"/>
    <mergeCell ref="B78:D78"/>
    <mergeCell ref="H78:J78"/>
    <mergeCell ref="N78:P78"/>
    <mergeCell ref="C80:D80"/>
    <mergeCell ref="I80:J80"/>
    <mergeCell ref="O80:P80"/>
    <mergeCell ref="B76:D76"/>
    <mergeCell ref="H76:J76"/>
    <mergeCell ref="N76:P76"/>
    <mergeCell ref="B77:D77"/>
    <mergeCell ref="H77:J77"/>
    <mergeCell ref="N77:P77"/>
    <mergeCell ref="B74:D74"/>
    <mergeCell ref="H74:J74"/>
    <mergeCell ref="N74:P74"/>
    <mergeCell ref="B75:D75"/>
    <mergeCell ref="H75:J75"/>
    <mergeCell ref="N75:P75"/>
    <mergeCell ref="B72:D72"/>
    <mergeCell ref="H72:J72"/>
    <mergeCell ref="N72:P72"/>
    <mergeCell ref="B73:D73"/>
    <mergeCell ref="H73:J73"/>
    <mergeCell ref="N73:P73"/>
    <mergeCell ref="B70:D70"/>
    <mergeCell ref="H70:J70"/>
    <mergeCell ref="N70:P70"/>
    <mergeCell ref="B71:D71"/>
    <mergeCell ref="H71:J71"/>
    <mergeCell ref="N71:P71"/>
    <mergeCell ref="N68:O68"/>
    <mergeCell ref="P68:Q68"/>
    <mergeCell ref="B69:D69"/>
    <mergeCell ref="H69:J69"/>
    <mergeCell ref="N69:P69"/>
    <mergeCell ref="B68:C68"/>
    <mergeCell ref="D68:E68"/>
    <mergeCell ref="H68:I68"/>
    <mergeCell ref="J68:K68"/>
    <mergeCell ref="B66:D66"/>
    <mergeCell ref="H66:J66"/>
    <mergeCell ref="N66:P66"/>
    <mergeCell ref="B67:D67"/>
    <mergeCell ref="H67:J67"/>
    <mergeCell ref="N67:P67"/>
    <mergeCell ref="B64:D64"/>
    <mergeCell ref="H64:J64"/>
    <mergeCell ref="N64:P64"/>
    <mergeCell ref="B65:D65"/>
    <mergeCell ref="H65:J65"/>
    <mergeCell ref="N65:P65"/>
    <mergeCell ref="B62:D62"/>
    <mergeCell ref="H62:J62"/>
    <mergeCell ref="N62:P62"/>
    <mergeCell ref="B63:D63"/>
    <mergeCell ref="H63:J63"/>
    <mergeCell ref="N63:P63"/>
    <mergeCell ref="B60:D60"/>
    <mergeCell ref="H60:J60"/>
    <mergeCell ref="N60:P60"/>
    <mergeCell ref="B61:D61"/>
    <mergeCell ref="H61:J61"/>
    <mergeCell ref="N61:P61"/>
    <mergeCell ref="B58:D58"/>
    <mergeCell ref="H58:J58"/>
    <mergeCell ref="N58:P58"/>
    <mergeCell ref="B59:D59"/>
    <mergeCell ref="H59:J59"/>
    <mergeCell ref="N59:P59"/>
    <mergeCell ref="B56:D56"/>
    <mergeCell ref="H56:J56"/>
    <mergeCell ref="N56:P56"/>
    <mergeCell ref="B57:D57"/>
    <mergeCell ref="H57:J57"/>
    <mergeCell ref="N57:P57"/>
    <mergeCell ref="N54:O54"/>
    <mergeCell ref="P54:Q54"/>
    <mergeCell ref="B55:C55"/>
    <mergeCell ref="D55:E55"/>
    <mergeCell ref="H55:I55"/>
    <mergeCell ref="J55:K55"/>
    <mergeCell ref="N55:O55"/>
    <mergeCell ref="P55:Q55"/>
    <mergeCell ref="B54:C54"/>
    <mergeCell ref="D54:E54"/>
    <mergeCell ref="H54:I54"/>
    <mergeCell ref="J54:K54"/>
    <mergeCell ref="B52:D52"/>
    <mergeCell ref="H52:J52"/>
    <mergeCell ref="N52:P52"/>
    <mergeCell ref="C27:D27"/>
    <mergeCell ref="I27:J27"/>
    <mergeCell ref="O27:P27"/>
    <mergeCell ref="B50:D50"/>
    <mergeCell ref="H50:J50"/>
    <mergeCell ref="N50:P50"/>
    <mergeCell ref="B51:D51"/>
    <mergeCell ref="H51:J51"/>
    <mergeCell ref="N51:P51"/>
    <mergeCell ref="B48:D48"/>
    <mergeCell ref="H48:J48"/>
    <mergeCell ref="N48:P48"/>
    <mergeCell ref="B49:D49"/>
    <mergeCell ref="H49:J49"/>
    <mergeCell ref="N49:P49"/>
    <mergeCell ref="B46:D46"/>
    <mergeCell ref="H46:J46"/>
    <mergeCell ref="N46:P46"/>
    <mergeCell ref="B47:D47"/>
    <mergeCell ref="H47:J47"/>
    <mergeCell ref="N47:P47"/>
    <mergeCell ref="B44:D44"/>
    <mergeCell ref="H44:J44"/>
    <mergeCell ref="N44:P44"/>
    <mergeCell ref="B45:D45"/>
    <mergeCell ref="H45:J45"/>
    <mergeCell ref="N45:P45"/>
    <mergeCell ref="N42:O42"/>
    <mergeCell ref="P42:Q42"/>
    <mergeCell ref="B43:D43"/>
    <mergeCell ref="H43:J43"/>
    <mergeCell ref="N43:P43"/>
    <mergeCell ref="B42:C42"/>
    <mergeCell ref="D42:E42"/>
    <mergeCell ref="H42:I42"/>
    <mergeCell ref="J42:K42"/>
    <mergeCell ref="B40:D40"/>
    <mergeCell ref="H40:J40"/>
    <mergeCell ref="N40:P40"/>
    <mergeCell ref="B41:D41"/>
    <mergeCell ref="H41:J41"/>
    <mergeCell ref="N41:P41"/>
    <mergeCell ref="B38:D38"/>
    <mergeCell ref="H38:J38"/>
    <mergeCell ref="N38:P38"/>
    <mergeCell ref="B39:D39"/>
    <mergeCell ref="H39:J39"/>
    <mergeCell ref="N39:P39"/>
    <mergeCell ref="B36:D36"/>
    <mergeCell ref="H36:J36"/>
    <mergeCell ref="N36:P36"/>
    <mergeCell ref="B37:D37"/>
    <mergeCell ref="H37:J37"/>
    <mergeCell ref="N37:P37"/>
    <mergeCell ref="B34:D34"/>
    <mergeCell ref="H34:J34"/>
    <mergeCell ref="N34:P34"/>
    <mergeCell ref="B35:D35"/>
    <mergeCell ref="H35:J35"/>
    <mergeCell ref="N35:P35"/>
    <mergeCell ref="B32:D32"/>
    <mergeCell ref="H32:J32"/>
    <mergeCell ref="N32:P32"/>
    <mergeCell ref="B33:D33"/>
    <mergeCell ref="H33:J33"/>
    <mergeCell ref="N33:P33"/>
    <mergeCell ref="B30:D30"/>
    <mergeCell ref="H30:J30"/>
    <mergeCell ref="N30:P30"/>
    <mergeCell ref="B31:D31"/>
    <mergeCell ref="H31:J31"/>
    <mergeCell ref="N31:P31"/>
    <mergeCell ref="N28:O28"/>
    <mergeCell ref="P28:Q28"/>
    <mergeCell ref="B29:C29"/>
    <mergeCell ref="D29:E29"/>
    <mergeCell ref="H29:I29"/>
    <mergeCell ref="J29:K29"/>
    <mergeCell ref="N29:O29"/>
    <mergeCell ref="P29:Q29"/>
    <mergeCell ref="B28:C28"/>
    <mergeCell ref="D28:E28"/>
    <mergeCell ref="H28:I28"/>
    <mergeCell ref="J28:K28"/>
    <mergeCell ref="N15:O15"/>
    <mergeCell ref="N16:P16"/>
    <mergeCell ref="N17:P17"/>
    <mergeCell ref="N18:P18"/>
    <mergeCell ref="N23:P23"/>
    <mergeCell ref="N24:P24"/>
    <mergeCell ref="N25:P25"/>
    <mergeCell ref="H22:J22"/>
    <mergeCell ref="D1:E1"/>
    <mergeCell ref="H1:I1"/>
    <mergeCell ref="J1:K1"/>
    <mergeCell ref="N22:P22"/>
    <mergeCell ref="N19:P19"/>
    <mergeCell ref="N20:P20"/>
    <mergeCell ref="N21:P21"/>
    <mergeCell ref="P15:Q15"/>
    <mergeCell ref="N11:P11"/>
    <mergeCell ref="N12:P12"/>
    <mergeCell ref="N13:P13"/>
    <mergeCell ref="N14:P14"/>
    <mergeCell ref="N7:P7"/>
    <mergeCell ref="N8:P8"/>
    <mergeCell ref="N9:P9"/>
    <mergeCell ref="N10:P10"/>
    <mergeCell ref="N3:P3"/>
    <mergeCell ref="N4:P4"/>
    <mergeCell ref="N5:P5"/>
    <mergeCell ref="N6:P6"/>
    <mergeCell ref="P1:Q1"/>
    <mergeCell ref="P2:Q2"/>
    <mergeCell ref="N1:O1"/>
    <mergeCell ref="N2:O2"/>
    <mergeCell ref="H23:J23"/>
    <mergeCell ref="H24:J24"/>
    <mergeCell ref="H25:J25"/>
    <mergeCell ref="H18:J18"/>
    <mergeCell ref="H19:J19"/>
    <mergeCell ref="H20:J20"/>
    <mergeCell ref="H21:J21"/>
    <mergeCell ref="H15:I15"/>
    <mergeCell ref="J15:K15"/>
    <mergeCell ref="H16:J16"/>
    <mergeCell ref="H17:J17"/>
    <mergeCell ref="H11:J11"/>
    <mergeCell ref="H12:J12"/>
    <mergeCell ref="H13:J13"/>
    <mergeCell ref="H14:J14"/>
    <mergeCell ref="H7:J7"/>
    <mergeCell ref="H8:J8"/>
    <mergeCell ref="H9:J9"/>
    <mergeCell ref="H10:J10"/>
    <mergeCell ref="H3:J3"/>
    <mergeCell ref="H4:J4"/>
    <mergeCell ref="H5:J5"/>
    <mergeCell ref="H6:J6"/>
    <mergeCell ref="H2:I2"/>
    <mergeCell ref="J2:K2"/>
    <mergeCell ref="B21:D21"/>
    <mergeCell ref="B22:D22"/>
    <mergeCell ref="B12:D12"/>
    <mergeCell ref="B13:D13"/>
    <mergeCell ref="B14:D14"/>
    <mergeCell ref="B16:D16"/>
    <mergeCell ref="B11:D11"/>
    <mergeCell ref="B8:D8"/>
    <mergeCell ref="B2:C2"/>
    <mergeCell ref="B23:D23"/>
    <mergeCell ref="B25:D25"/>
    <mergeCell ref="B24:D24"/>
    <mergeCell ref="B17:D17"/>
    <mergeCell ref="B18:D18"/>
    <mergeCell ref="B19:D19"/>
    <mergeCell ref="B20:D20"/>
    <mergeCell ref="B15:C15"/>
    <mergeCell ref="D2:E2"/>
    <mergeCell ref="B1:C1"/>
    <mergeCell ref="D15:E15"/>
    <mergeCell ref="B3:D3"/>
    <mergeCell ref="B4:D4"/>
    <mergeCell ref="B5:D5"/>
    <mergeCell ref="B6:D6"/>
    <mergeCell ref="B9:D9"/>
    <mergeCell ref="B10:D10"/>
    <mergeCell ref="B7:D7"/>
    <mergeCell ref="C107:D107"/>
    <mergeCell ref="I107:J107"/>
    <mergeCell ref="O107:P107"/>
    <mergeCell ref="B108:C108"/>
    <mergeCell ref="D108:E108"/>
    <mergeCell ref="H108:I108"/>
    <mergeCell ref="J108:K108"/>
    <mergeCell ref="N108:O108"/>
    <mergeCell ref="P108:Q108"/>
    <mergeCell ref="N109:O109"/>
    <mergeCell ref="P109:Q109"/>
    <mergeCell ref="B110:D110"/>
    <mergeCell ref="H110:J110"/>
    <mergeCell ref="N110:P110"/>
    <mergeCell ref="B109:C109"/>
    <mergeCell ref="D109:E109"/>
    <mergeCell ref="H109:I109"/>
    <mergeCell ref="J109:K109"/>
    <mergeCell ref="B111:D111"/>
    <mergeCell ref="H111:J111"/>
    <mergeCell ref="N111:P111"/>
    <mergeCell ref="B112:D112"/>
    <mergeCell ref="H112:J112"/>
    <mergeCell ref="N112:P112"/>
    <mergeCell ref="B113:D113"/>
    <mergeCell ref="H113:J113"/>
    <mergeCell ref="N113:P113"/>
    <mergeCell ref="B114:D114"/>
    <mergeCell ref="H114:J114"/>
    <mergeCell ref="N114:P114"/>
    <mergeCell ref="B115:D115"/>
    <mergeCell ref="H115:J115"/>
    <mergeCell ref="N115:P115"/>
    <mergeCell ref="B116:D116"/>
    <mergeCell ref="H116:J116"/>
    <mergeCell ref="N116:P116"/>
    <mergeCell ref="B117:D117"/>
    <mergeCell ref="H117:J117"/>
    <mergeCell ref="N117:P117"/>
    <mergeCell ref="B118:D118"/>
    <mergeCell ref="H118:J118"/>
    <mergeCell ref="N118:P118"/>
    <mergeCell ref="B119:D119"/>
    <mergeCell ref="H119:J119"/>
    <mergeCell ref="N119:P119"/>
    <mergeCell ref="B120:D120"/>
    <mergeCell ref="H120:J120"/>
    <mergeCell ref="N120:P120"/>
    <mergeCell ref="B121:D121"/>
    <mergeCell ref="H121:J121"/>
    <mergeCell ref="N121:P121"/>
    <mergeCell ref="B122:C122"/>
    <mergeCell ref="D122:E122"/>
    <mergeCell ref="H122:I122"/>
    <mergeCell ref="J122:K122"/>
    <mergeCell ref="N122:O122"/>
    <mergeCell ref="P122:Q122"/>
    <mergeCell ref="B123:D123"/>
    <mergeCell ref="H123:J123"/>
    <mergeCell ref="N123:P123"/>
    <mergeCell ref="B124:D124"/>
    <mergeCell ref="H124:J124"/>
    <mergeCell ref="N124:P124"/>
    <mergeCell ref="B125:D125"/>
    <mergeCell ref="H125:J125"/>
    <mergeCell ref="N125:P125"/>
    <mergeCell ref="B126:D126"/>
    <mergeCell ref="H126:J126"/>
    <mergeCell ref="N126:P126"/>
    <mergeCell ref="B127:D127"/>
    <mergeCell ref="H127:J127"/>
    <mergeCell ref="N127:P127"/>
    <mergeCell ref="B128:D128"/>
    <mergeCell ref="H128:J128"/>
    <mergeCell ref="N128:P128"/>
    <mergeCell ref="B129:D129"/>
    <mergeCell ref="H129:J129"/>
    <mergeCell ref="N129:P129"/>
    <mergeCell ref="B130:D130"/>
    <mergeCell ref="H130:J130"/>
    <mergeCell ref="N130:P130"/>
    <mergeCell ref="B131:D131"/>
    <mergeCell ref="H131:J131"/>
    <mergeCell ref="N131:P131"/>
    <mergeCell ref="B132:D132"/>
    <mergeCell ref="H132:J132"/>
    <mergeCell ref="N132:P132"/>
  </mergeCells>
  <printOptions/>
  <pageMargins left="0" right="0" top="0" bottom="0" header="0" footer="0"/>
  <pageSetup horizontalDpi="600" verticalDpi="600" orientation="landscape" paperSize="9" scale="89" r:id="rId1"/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4"/>
  <dimension ref="A1:O24"/>
  <sheetViews>
    <sheetView workbookViewId="0" topLeftCell="A1">
      <selection activeCell="E17" sqref="E17"/>
    </sheetView>
  </sheetViews>
  <sheetFormatPr defaultColWidth="9.140625" defaultRowHeight="12.75"/>
  <cols>
    <col min="1" max="1" width="3.28125" style="23" customWidth="1"/>
    <col min="2" max="2" width="28.7109375" style="23" customWidth="1"/>
    <col min="3" max="15" width="7.7109375" style="23" customWidth="1"/>
    <col min="16" max="16384" width="9.140625" style="23" customWidth="1"/>
  </cols>
  <sheetData>
    <row r="1" spans="1:15" ht="18" customHeight="1">
      <c r="A1" s="888" t="s">
        <v>180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</row>
    <row r="2" spans="1:15" ht="12.75">
      <c r="A2" s="890" t="s">
        <v>44</v>
      </c>
      <c r="B2" s="891" t="s">
        <v>61</v>
      </c>
      <c r="C2" s="891" t="s">
        <v>181</v>
      </c>
      <c r="D2" s="891" t="s">
        <v>182</v>
      </c>
      <c r="E2" s="891" t="s">
        <v>183</v>
      </c>
      <c r="F2" s="891" t="s">
        <v>184</v>
      </c>
      <c r="G2" s="891" t="s">
        <v>185</v>
      </c>
      <c r="H2" s="891" t="s">
        <v>186</v>
      </c>
      <c r="I2" s="891" t="s">
        <v>187</v>
      </c>
      <c r="J2" s="891" t="s">
        <v>188</v>
      </c>
      <c r="K2" s="891" t="s">
        <v>189</v>
      </c>
      <c r="L2" s="891" t="s">
        <v>190</v>
      </c>
      <c r="M2" s="891" t="s">
        <v>191</v>
      </c>
      <c r="N2" s="891" t="s">
        <v>192</v>
      </c>
      <c r="O2" s="891" t="s">
        <v>193</v>
      </c>
    </row>
    <row r="3" spans="1:15" ht="12.75">
      <c r="A3" s="890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</row>
    <row r="4" spans="1:15" ht="18" customHeight="1">
      <c r="A4" s="149">
        <v>1</v>
      </c>
      <c r="B4" s="150" t="s">
        <v>194</v>
      </c>
      <c r="C4" s="151">
        <v>31</v>
      </c>
      <c r="D4" s="151">
        <v>28</v>
      </c>
      <c r="E4" s="151">
        <v>31</v>
      </c>
      <c r="F4" s="151">
        <v>30</v>
      </c>
      <c r="G4" s="151">
        <v>31</v>
      </c>
      <c r="H4" s="151">
        <v>30</v>
      </c>
      <c r="I4" s="151">
        <v>31</v>
      </c>
      <c r="J4" s="151">
        <v>31</v>
      </c>
      <c r="K4" s="151">
        <v>30</v>
      </c>
      <c r="L4" s="151">
        <v>31</v>
      </c>
      <c r="M4" s="151">
        <v>30</v>
      </c>
      <c r="N4" s="151">
        <v>31</v>
      </c>
      <c r="O4" s="152">
        <f>SUM(C4,D4,E4,F4,G4,H4,I4,J4,K4,L4,M4,N4)</f>
        <v>365</v>
      </c>
    </row>
    <row r="5" spans="1:15" ht="18" customHeight="1">
      <c r="A5" s="891">
        <v>2</v>
      </c>
      <c r="B5" s="892" t="s">
        <v>195</v>
      </c>
      <c r="C5" s="153">
        <v>2</v>
      </c>
      <c r="D5" s="153"/>
      <c r="E5" s="153">
        <v>1</v>
      </c>
      <c r="F5" s="153"/>
      <c r="G5" s="153">
        <v>4</v>
      </c>
      <c r="H5" s="153">
        <v>2</v>
      </c>
      <c r="I5" s="153"/>
      <c r="J5" s="153">
        <v>1</v>
      </c>
      <c r="K5" s="153"/>
      <c r="L5" s="153"/>
      <c r="M5" s="153"/>
      <c r="N5" s="153"/>
      <c r="O5" s="893">
        <f>SUM(C5:N5)</f>
        <v>10</v>
      </c>
    </row>
    <row r="6" spans="1:15" ht="18" customHeight="1">
      <c r="A6" s="891"/>
      <c r="B6" s="892"/>
      <c r="C6" s="154" t="s">
        <v>196</v>
      </c>
      <c r="D6" s="154"/>
      <c r="E6" s="154" t="s">
        <v>197</v>
      </c>
      <c r="F6" s="154"/>
      <c r="G6" s="154" t="s">
        <v>221</v>
      </c>
      <c r="H6" s="154" t="s">
        <v>222</v>
      </c>
      <c r="I6" s="154"/>
      <c r="J6" s="154" t="s">
        <v>198</v>
      </c>
      <c r="K6" s="154"/>
      <c r="L6" s="154"/>
      <c r="M6" s="154"/>
      <c r="N6" s="154"/>
      <c r="O6" s="893"/>
    </row>
    <row r="7" spans="1:15" ht="18" customHeight="1">
      <c r="A7" s="149">
        <v>3</v>
      </c>
      <c r="B7" s="150" t="s">
        <v>199</v>
      </c>
      <c r="C7" s="134">
        <v>8</v>
      </c>
      <c r="D7" s="134">
        <v>8</v>
      </c>
      <c r="E7" s="134">
        <v>10</v>
      </c>
      <c r="F7" s="134">
        <v>8</v>
      </c>
      <c r="G7" s="134">
        <v>8</v>
      </c>
      <c r="H7" s="134">
        <v>10</v>
      </c>
      <c r="I7" s="134">
        <v>8</v>
      </c>
      <c r="J7" s="134">
        <v>9</v>
      </c>
      <c r="K7" s="134">
        <v>9</v>
      </c>
      <c r="L7" s="134">
        <v>8</v>
      </c>
      <c r="M7" s="134">
        <v>9</v>
      </c>
      <c r="N7" s="134">
        <v>9</v>
      </c>
      <c r="O7" s="134">
        <f>SUM(C7:N7)</f>
        <v>104</v>
      </c>
    </row>
    <row r="8" spans="1:15" ht="28.5" customHeight="1">
      <c r="A8" s="149">
        <v>4</v>
      </c>
      <c r="B8" s="150" t="s">
        <v>200</v>
      </c>
      <c r="C8" s="134">
        <v>10</v>
      </c>
      <c r="D8" s="134">
        <v>8</v>
      </c>
      <c r="E8" s="134">
        <v>11</v>
      </c>
      <c r="F8" s="134">
        <v>8</v>
      </c>
      <c r="G8" s="134">
        <v>12</v>
      </c>
      <c r="H8" s="134">
        <v>12</v>
      </c>
      <c r="I8" s="134">
        <v>8</v>
      </c>
      <c r="J8" s="134">
        <v>10</v>
      </c>
      <c r="K8" s="134">
        <v>9</v>
      </c>
      <c r="L8" s="134">
        <v>8</v>
      </c>
      <c r="M8" s="134">
        <v>9</v>
      </c>
      <c r="N8" s="134">
        <v>9</v>
      </c>
      <c r="O8" s="134">
        <f>SUM(C8:N8)</f>
        <v>114</v>
      </c>
    </row>
    <row r="9" spans="1:15" ht="18" customHeight="1">
      <c r="A9" s="149">
        <v>5</v>
      </c>
      <c r="B9" s="150" t="s">
        <v>201</v>
      </c>
      <c r="C9" s="134">
        <f>C4-C8</f>
        <v>21</v>
      </c>
      <c r="D9" s="134">
        <f aca="true" t="shared" si="0" ref="D9:N9">D4-D8</f>
        <v>20</v>
      </c>
      <c r="E9" s="134">
        <f t="shared" si="0"/>
        <v>20</v>
      </c>
      <c r="F9" s="134">
        <f t="shared" si="0"/>
        <v>22</v>
      </c>
      <c r="G9" s="134">
        <f t="shared" si="0"/>
        <v>19</v>
      </c>
      <c r="H9" s="134">
        <f t="shared" si="0"/>
        <v>18</v>
      </c>
      <c r="I9" s="134">
        <f t="shared" si="0"/>
        <v>23</v>
      </c>
      <c r="J9" s="134">
        <f t="shared" si="0"/>
        <v>21</v>
      </c>
      <c r="K9" s="134">
        <f t="shared" si="0"/>
        <v>21</v>
      </c>
      <c r="L9" s="134">
        <f t="shared" si="0"/>
        <v>23</v>
      </c>
      <c r="M9" s="134">
        <f t="shared" si="0"/>
        <v>21</v>
      </c>
      <c r="N9" s="134">
        <f t="shared" si="0"/>
        <v>22</v>
      </c>
      <c r="O9" s="134">
        <f>SUM(C9:N9)</f>
        <v>251</v>
      </c>
    </row>
    <row r="10" spans="1:15" ht="36.75" customHeight="1">
      <c r="A10" s="891">
        <v>6</v>
      </c>
      <c r="B10" s="894" t="s">
        <v>202</v>
      </c>
      <c r="C10" s="153"/>
      <c r="D10" s="153"/>
      <c r="E10" s="153">
        <v>1</v>
      </c>
      <c r="F10" s="153">
        <v>1</v>
      </c>
      <c r="G10" s="153">
        <v>1</v>
      </c>
      <c r="H10" s="153">
        <v>1</v>
      </c>
      <c r="I10" s="153"/>
      <c r="J10" s="153">
        <v>1</v>
      </c>
      <c r="K10" s="153"/>
      <c r="L10" s="153"/>
      <c r="M10" s="153"/>
      <c r="N10" s="153">
        <v>1</v>
      </c>
      <c r="O10" s="893">
        <f>SUM(C10:N10)</f>
        <v>6</v>
      </c>
    </row>
    <row r="11" spans="1:15" ht="12.75">
      <c r="A11" s="891"/>
      <c r="B11" s="894"/>
      <c r="C11" s="154"/>
      <c r="D11" s="154"/>
      <c r="E11" s="154" t="s">
        <v>203</v>
      </c>
      <c r="F11" s="154" t="s">
        <v>204</v>
      </c>
      <c r="G11" s="154" t="s">
        <v>197</v>
      </c>
      <c r="H11" s="154" t="s">
        <v>205</v>
      </c>
      <c r="I11" s="154"/>
      <c r="J11" s="154" t="s">
        <v>206</v>
      </c>
      <c r="K11" s="154"/>
      <c r="L11" s="154"/>
      <c r="M11" s="154"/>
      <c r="N11" s="154" t="s">
        <v>207</v>
      </c>
      <c r="O11" s="893"/>
    </row>
    <row r="12" spans="1:15" ht="18" customHeight="1">
      <c r="A12" s="895" t="s">
        <v>208</v>
      </c>
      <c r="B12" s="896"/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7"/>
    </row>
    <row r="13" spans="1:15" ht="15" customHeight="1">
      <c r="A13" s="890" t="s">
        <v>44</v>
      </c>
      <c r="B13" s="891" t="s">
        <v>61</v>
      </c>
      <c r="C13" s="891" t="s">
        <v>181</v>
      </c>
      <c r="D13" s="891" t="s">
        <v>182</v>
      </c>
      <c r="E13" s="891" t="s">
        <v>183</v>
      </c>
      <c r="F13" s="891" t="s">
        <v>184</v>
      </c>
      <c r="G13" s="891" t="s">
        <v>185</v>
      </c>
      <c r="H13" s="891" t="s">
        <v>186</v>
      </c>
      <c r="I13" s="891" t="s">
        <v>187</v>
      </c>
      <c r="J13" s="891" t="s">
        <v>188</v>
      </c>
      <c r="K13" s="891" t="s">
        <v>189</v>
      </c>
      <c r="L13" s="891" t="s">
        <v>190</v>
      </c>
      <c r="M13" s="891" t="s">
        <v>191</v>
      </c>
      <c r="N13" s="891" t="s">
        <v>192</v>
      </c>
      <c r="O13" s="891" t="s">
        <v>193</v>
      </c>
    </row>
    <row r="14" spans="1:15" ht="15" customHeight="1" thickBot="1">
      <c r="A14" s="898"/>
      <c r="B14" s="899"/>
      <c r="C14" s="899"/>
      <c r="D14" s="899"/>
      <c r="E14" s="899"/>
      <c r="F14" s="899"/>
      <c r="G14" s="899"/>
      <c r="H14" s="899"/>
      <c r="I14" s="899"/>
      <c r="J14" s="899"/>
      <c r="K14" s="899"/>
      <c r="L14" s="899"/>
      <c r="M14" s="899"/>
      <c r="N14" s="899"/>
      <c r="O14" s="899"/>
    </row>
    <row r="15" spans="1:15" ht="15" customHeight="1" thickBot="1">
      <c r="A15" s="155">
        <v>7</v>
      </c>
      <c r="B15" s="156" t="s">
        <v>209</v>
      </c>
      <c r="C15" s="165">
        <v>168</v>
      </c>
      <c r="D15" s="165">
        <v>160</v>
      </c>
      <c r="E15" s="165">
        <v>159</v>
      </c>
      <c r="F15" s="165">
        <v>175</v>
      </c>
      <c r="G15" s="165">
        <v>151</v>
      </c>
      <c r="H15" s="165">
        <v>143</v>
      </c>
      <c r="I15" s="165">
        <v>184</v>
      </c>
      <c r="J15" s="165">
        <v>167</v>
      </c>
      <c r="K15" s="165">
        <v>168</v>
      </c>
      <c r="L15" s="165">
        <v>184</v>
      </c>
      <c r="M15" s="165">
        <v>168</v>
      </c>
      <c r="N15" s="165">
        <v>175</v>
      </c>
      <c r="O15" s="165">
        <f>SUM(C15:N15)</f>
        <v>2002</v>
      </c>
    </row>
    <row r="16" spans="1:15" ht="15" customHeight="1">
      <c r="A16" s="157">
        <v>8</v>
      </c>
      <c r="B16" s="158" t="s">
        <v>210</v>
      </c>
      <c r="C16" s="166">
        <v>163.8</v>
      </c>
      <c r="D16" s="166">
        <v>156</v>
      </c>
      <c r="E16" s="166">
        <v>156</v>
      </c>
      <c r="F16" s="166">
        <v>171.6</v>
      </c>
      <c r="G16" s="166">
        <v>148.2</v>
      </c>
      <c r="H16" s="166">
        <v>140.4</v>
      </c>
      <c r="I16" s="166">
        <v>179.4</v>
      </c>
      <c r="J16" s="166">
        <v>163.8</v>
      </c>
      <c r="K16" s="166">
        <v>163.8</v>
      </c>
      <c r="L16" s="166">
        <v>179.4</v>
      </c>
      <c r="M16" s="166">
        <v>163.8</v>
      </c>
      <c r="N16" s="166">
        <v>171.6</v>
      </c>
      <c r="O16" s="167">
        <f>SUM(C16:N16)</f>
        <v>1957.7999999999997</v>
      </c>
    </row>
    <row r="17" spans="1:15" ht="15" customHeight="1">
      <c r="A17" s="159">
        <v>9</v>
      </c>
      <c r="B17" s="160" t="s">
        <v>211</v>
      </c>
      <c r="C17" s="166">
        <v>161.7</v>
      </c>
      <c r="D17" s="166">
        <v>154</v>
      </c>
      <c r="E17" s="166">
        <v>154</v>
      </c>
      <c r="F17" s="166">
        <v>169.4</v>
      </c>
      <c r="G17" s="166">
        <v>146.3</v>
      </c>
      <c r="H17" s="166">
        <v>138.6</v>
      </c>
      <c r="I17" s="166">
        <v>177.1</v>
      </c>
      <c r="J17" s="166">
        <v>161.7</v>
      </c>
      <c r="K17" s="166">
        <v>161.7</v>
      </c>
      <c r="L17" s="166">
        <v>177.1</v>
      </c>
      <c r="M17" s="166">
        <v>161.7</v>
      </c>
      <c r="N17" s="166">
        <v>169.4</v>
      </c>
      <c r="O17" s="166">
        <f>SUM(C17:N17)</f>
        <v>1932.7000000000003</v>
      </c>
    </row>
    <row r="18" spans="1:15" ht="15" customHeight="1">
      <c r="A18" s="159">
        <v>10</v>
      </c>
      <c r="B18" s="160" t="s">
        <v>212</v>
      </c>
      <c r="C18" s="166">
        <v>151.2</v>
      </c>
      <c r="D18" s="166">
        <v>144</v>
      </c>
      <c r="E18" s="166">
        <v>144</v>
      </c>
      <c r="F18" s="166">
        <v>158.4</v>
      </c>
      <c r="G18" s="166">
        <v>136.8</v>
      </c>
      <c r="H18" s="166">
        <v>129.6</v>
      </c>
      <c r="I18" s="166">
        <v>165.6</v>
      </c>
      <c r="J18" s="166">
        <v>151.2</v>
      </c>
      <c r="K18" s="166">
        <v>151.2</v>
      </c>
      <c r="L18" s="166">
        <v>165.6</v>
      </c>
      <c r="M18" s="166">
        <v>151.2</v>
      </c>
      <c r="N18" s="166">
        <v>158.4</v>
      </c>
      <c r="O18" s="166">
        <f aca="true" t="shared" si="1" ref="O18:O24">SUM(C18:N18)</f>
        <v>1807.2000000000003</v>
      </c>
    </row>
    <row r="19" spans="1:15" ht="15" customHeight="1" thickBot="1">
      <c r="A19" s="161">
        <v>11</v>
      </c>
      <c r="B19" s="162" t="s">
        <v>213</v>
      </c>
      <c r="C19" s="166">
        <v>138.6</v>
      </c>
      <c r="D19" s="166">
        <v>132</v>
      </c>
      <c r="E19" s="166">
        <v>132</v>
      </c>
      <c r="F19" s="166">
        <v>145.2</v>
      </c>
      <c r="G19" s="166">
        <v>125.4</v>
      </c>
      <c r="H19" s="166">
        <v>118.8</v>
      </c>
      <c r="I19" s="166">
        <v>151.8</v>
      </c>
      <c r="J19" s="166">
        <v>138.6</v>
      </c>
      <c r="K19" s="166">
        <v>138.6</v>
      </c>
      <c r="L19" s="166">
        <v>151.8</v>
      </c>
      <c r="M19" s="166">
        <v>138.6</v>
      </c>
      <c r="N19" s="166">
        <v>145.2</v>
      </c>
      <c r="O19" s="166">
        <f t="shared" si="1"/>
        <v>1656.5999999999997</v>
      </c>
    </row>
    <row r="20" spans="1:15" ht="15" customHeight="1" thickBot="1">
      <c r="A20" s="163">
        <v>12</v>
      </c>
      <c r="B20" s="164" t="s">
        <v>214</v>
      </c>
      <c r="C20" s="168">
        <f aca="true" t="shared" si="2" ref="C20:N20">ROUNDUP(C15/40*30,0)</f>
        <v>126</v>
      </c>
      <c r="D20" s="168">
        <f t="shared" si="2"/>
        <v>120</v>
      </c>
      <c r="E20" s="168">
        <f t="shared" si="2"/>
        <v>120</v>
      </c>
      <c r="F20" s="168">
        <f t="shared" si="2"/>
        <v>132</v>
      </c>
      <c r="G20" s="168">
        <f t="shared" si="2"/>
        <v>114</v>
      </c>
      <c r="H20" s="168">
        <f t="shared" si="2"/>
        <v>108</v>
      </c>
      <c r="I20" s="168">
        <f t="shared" si="2"/>
        <v>138</v>
      </c>
      <c r="J20" s="168">
        <f t="shared" si="2"/>
        <v>126</v>
      </c>
      <c r="K20" s="168">
        <f t="shared" si="2"/>
        <v>126</v>
      </c>
      <c r="L20" s="168">
        <f t="shared" si="2"/>
        <v>138</v>
      </c>
      <c r="M20" s="168">
        <f t="shared" si="2"/>
        <v>126</v>
      </c>
      <c r="N20" s="168">
        <f t="shared" si="2"/>
        <v>132</v>
      </c>
      <c r="O20" s="168">
        <f t="shared" si="1"/>
        <v>1506</v>
      </c>
    </row>
    <row r="21" spans="1:15" ht="15" customHeight="1">
      <c r="A21" s="157">
        <v>13</v>
      </c>
      <c r="B21" s="158" t="s">
        <v>215</v>
      </c>
      <c r="C21" s="166">
        <v>105</v>
      </c>
      <c r="D21" s="166">
        <v>100</v>
      </c>
      <c r="E21" s="166">
        <v>100</v>
      </c>
      <c r="F21" s="166">
        <v>110</v>
      </c>
      <c r="G21" s="166">
        <v>95</v>
      </c>
      <c r="H21" s="166">
        <v>90</v>
      </c>
      <c r="I21" s="166">
        <v>115</v>
      </c>
      <c r="J21" s="166">
        <v>105</v>
      </c>
      <c r="K21" s="166">
        <v>105</v>
      </c>
      <c r="L21" s="166">
        <v>115</v>
      </c>
      <c r="M21" s="166">
        <v>105</v>
      </c>
      <c r="N21" s="166">
        <v>110</v>
      </c>
      <c r="O21" s="166">
        <f t="shared" si="1"/>
        <v>1255</v>
      </c>
    </row>
    <row r="22" spans="1:15" ht="15" customHeight="1">
      <c r="A22" s="159">
        <v>14</v>
      </c>
      <c r="B22" s="160" t="s">
        <v>216</v>
      </c>
      <c r="C22" s="166">
        <v>100.8</v>
      </c>
      <c r="D22" s="166">
        <v>96</v>
      </c>
      <c r="E22" s="166">
        <v>96</v>
      </c>
      <c r="F22" s="166">
        <v>105.6</v>
      </c>
      <c r="G22" s="166">
        <v>91.2</v>
      </c>
      <c r="H22" s="166">
        <v>86.4</v>
      </c>
      <c r="I22" s="166">
        <v>110.4</v>
      </c>
      <c r="J22" s="166">
        <v>100.8</v>
      </c>
      <c r="K22" s="166">
        <v>100.8</v>
      </c>
      <c r="L22" s="166">
        <v>110.4</v>
      </c>
      <c r="M22" s="166">
        <v>100.8</v>
      </c>
      <c r="N22" s="166">
        <v>105.6</v>
      </c>
      <c r="O22" s="166">
        <f t="shared" si="1"/>
        <v>1204.7999999999997</v>
      </c>
    </row>
    <row r="23" spans="1:15" ht="15" customHeight="1">
      <c r="A23" s="159">
        <v>15</v>
      </c>
      <c r="B23" s="160" t="s">
        <v>217</v>
      </c>
      <c r="C23" s="166">
        <v>84</v>
      </c>
      <c r="D23" s="166">
        <v>80</v>
      </c>
      <c r="E23" s="166">
        <v>80</v>
      </c>
      <c r="F23" s="166">
        <v>88</v>
      </c>
      <c r="G23" s="166">
        <v>76</v>
      </c>
      <c r="H23" s="166">
        <v>72</v>
      </c>
      <c r="I23" s="166">
        <v>92</v>
      </c>
      <c r="J23" s="166">
        <v>84</v>
      </c>
      <c r="K23" s="166">
        <v>84</v>
      </c>
      <c r="L23" s="166">
        <v>92</v>
      </c>
      <c r="M23" s="166">
        <v>84</v>
      </c>
      <c r="N23" s="166">
        <v>88</v>
      </c>
      <c r="O23" s="166">
        <f t="shared" si="1"/>
        <v>1004</v>
      </c>
    </row>
    <row r="24" spans="1:15" ht="15" customHeight="1">
      <c r="A24" s="159">
        <v>16</v>
      </c>
      <c r="B24" s="160" t="s">
        <v>218</v>
      </c>
      <c r="C24" s="166">
        <v>75.6</v>
      </c>
      <c r="D24" s="166">
        <v>72</v>
      </c>
      <c r="E24" s="166">
        <v>72</v>
      </c>
      <c r="F24" s="166">
        <v>79.2</v>
      </c>
      <c r="G24" s="166">
        <v>68.4</v>
      </c>
      <c r="H24" s="166">
        <v>64.8</v>
      </c>
      <c r="I24" s="166">
        <v>82.8</v>
      </c>
      <c r="J24" s="166">
        <v>75.6</v>
      </c>
      <c r="K24" s="166">
        <v>75.6</v>
      </c>
      <c r="L24" s="166">
        <v>82.8</v>
      </c>
      <c r="M24" s="166">
        <v>75.6</v>
      </c>
      <c r="N24" s="166">
        <v>79.2</v>
      </c>
      <c r="O24" s="166">
        <f t="shared" si="1"/>
        <v>903.6000000000001</v>
      </c>
    </row>
  </sheetData>
  <sheetProtection formatCells="0" selectLockedCells="1"/>
  <mergeCells count="38">
    <mergeCell ref="M13:M14"/>
    <mergeCell ref="N13:N14"/>
    <mergeCell ref="O13:O14"/>
    <mergeCell ref="I13:I14"/>
    <mergeCell ref="J13:J14"/>
    <mergeCell ref="K13:K14"/>
    <mergeCell ref="L13:L14"/>
    <mergeCell ref="E13:E14"/>
    <mergeCell ref="F13:F14"/>
    <mergeCell ref="G13:G14"/>
    <mergeCell ref="H13:H14"/>
    <mergeCell ref="A13:A14"/>
    <mergeCell ref="B13:B14"/>
    <mergeCell ref="C13:C14"/>
    <mergeCell ref="D13:D14"/>
    <mergeCell ref="A10:A11"/>
    <mergeCell ref="B10:B11"/>
    <mergeCell ref="O10:O11"/>
    <mergeCell ref="A12:O12"/>
    <mergeCell ref="N2:N3"/>
    <mergeCell ref="O2:O3"/>
    <mergeCell ref="A5:A6"/>
    <mergeCell ref="B5:B6"/>
    <mergeCell ref="O5:O6"/>
    <mergeCell ref="J2:J3"/>
    <mergeCell ref="K2:K3"/>
    <mergeCell ref="L2:L3"/>
    <mergeCell ref="M2:M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  <ignoredErrors>
    <ignoredError sqref="C6 E6 H6 J6 E11:H11 J11 N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X56"/>
  <sheetViews>
    <sheetView zoomScale="80" zoomScaleNormal="80" zoomScalePageLayoutView="0" workbookViewId="0" topLeftCell="A8">
      <selection activeCell="G26" sqref="G26"/>
    </sheetView>
  </sheetViews>
  <sheetFormatPr defaultColWidth="9.140625" defaultRowHeight="12.75"/>
  <cols>
    <col min="1" max="1" width="15.7109375" style="0" customWidth="1"/>
    <col min="2" max="2" width="10.7109375" style="0" customWidth="1"/>
    <col min="3" max="4" width="8.7109375" style="0" customWidth="1"/>
    <col min="5" max="16" width="8.00390625" style="0" customWidth="1"/>
    <col min="17" max="17" width="2.7109375" style="0" customWidth="1"/>
    <col min="18" max="19" width="9.28125" style="0" customWidth="1"/>
    <col min="20" max="22" width="8.7109375" style="0" customWidth="1"/>
    <col min="24" max="24" width="23.57421875" style="0" customWidth="1"/>
  </cols>
  <sheetData>
    <row r="1" spans="1:11" ht="15" customHeight="1">
      <c r="A1" s="230" t="s">
        <v>284</v>
      </c>
      <c r="B1" s="470" t="s">
        <v>353</v>
      </c>
      <c r="C1" s="470"/>
      <c r="D1" s="470"/>
      <c r="E1" s="470"/>
      <c r="F1" s="470"/>
      <c r="G1" s="470"/>
      <c r="H1" s="232"/>
      <c r="I1" s="232"/>
      <c r="J1" s="232"/>
      <c r="K1" s="232"/>
    </row>
    <row r="2" spans="1:11" ht="15" customHeight="1">
      <c r="A2" s="231" t="s">
        <v>283</v>
      </c>
      <c r="B2" s="470" t="s">
        <v>354</v>
      </c>
      <c r="C2" s="470"/>
      <c r="D2" s="470"/>
      <c r="E2" s="470"/>
      <c r="F2" s="470"/>
      <c r="G2" s="470"/>
      <c r="H2" s="232"/>
      <c r="I2" s="232"/>
      <c r="J2" s="232"/>
      <c r="K2" s="232"/>
    </row>
    <row r="3" spans="1:11" ht="15" customHeight="1">
      <c r="A3" s="231" t="s">
        <v>285</v>
      </c>
      <c r="B3" s="361" t="s">
        <v>361</v>
      </c>
      <c r="C3" s="360"/>
      <c r="D3" s="360"/>
      <c r="E3" s="360"/>
      <c r="F3" s="360"/>
      <c r="G3" s="360"/>
      <c r="H3" s="232"/>
      <c r="I3" s="232"/>
      <c r="J3" s="232"/>
      <c r="K3" s="232"/>
    </row>
    <row r="4" spans="1:21" ht="15" customHeight="1">
      <c r="A4" s="362" t="s">
        <v>98</v>
      </c>
      <c r="B4" s="466" t="s">
        <v>355</v>
      </c>
      <c r="C4" s="466"/>
      <c r="D4" s="357"/>
      <c r="E4" s="358" t="s">
        <v>288</v>
      </c>
      <c r="F4" s="273"/>
      <c r="G4" s="271"/>
      <c r="H4" s="237"/>
      <c r="I4" s="458" t="s">
        <v>359</v>
      </c>
      <c r="J4" s="458"/>
      <c r="K4" s="458"/>
      <c r="L4" s="458"/>
      <c r="M4" s="458"/>
      <c r="N4" s="458"/>
      <c r="O4" s="237"/>
      <c r="P4" s="465"/>
      <c r="Q4" s="465"/>
      <c r="R4" s="465"/>
      <c r="S4" s="465"/>
      <c r="T4" s="465"/>
      <c r="U4" s="465"/>
    </row>
    <row r="5" spans="1:21" ht="15" customHeight="1">
      <c r="A5" s="364">
        <v>110204</v>
      </c>
      <c r="B5" s="467" t="s">
        <v>356</v>
      </c>
      <c r="C5" s="467"/>
      <c r="D5" s="359" t="s">
        <v>279</v>
      </c>
      <c r="E5" s="359" t="s">
        <v>289</v>
      </c>
      <c r="F5" s="274"/>
      <c r="G5" s="268"/>
      <c r="H5" s="275"/>
      <c r="I5" s="459" t="s">
        <v>360</v>
      </c>
      <c r="J5" s="459"/>
      <c r="K5" s="459"/>
      <c r="L5" s="459"/>
      <c r="M5" s="459"/>
      <c r="N5" s="459"/>
      <c r="O5" s="275"/>
      <c r="P5" s="465"/>
      <c r="Q5" s="465"/>
      <c r="R5" s="465"/>
      <c r="S5" s="465"/>
      <c r="T5" s="465"/>
      <c r="U5" s="465"/>
    </row>
    <row r="6" spans="1:21" ht="15" customHeight="1">
      <c r="A6" s="233"/>
      <c r="B6" s="269"/>
      <c r="C6" s="269"/>
      <c r="D6" s="269"/>
      <c r="E6" s="269"/>
      <c r="F6" s="269"/>
      <c r="G6" s="269"/>
      <c r="H6" s="244"/>
      <c r="I6" s="244"/>
      <c r="J6" s="244"/>
      <c r="K6" s="244"/>
      <c r="L6" s="244"/>
      <c r="M6" s="244"/>
      <c r="N6" s="244"/>
      <c r="O6" s="244"/>
      <c r="P6" s="272"/>
      <c r="Q6" s="272"/>
      <c r="R6" s="272"/>
      <c r="S6" s="272"/>
      <c r="T6" s="272"/>
      <c r="U6" s="272"/>
    </row>
    <row r="7" spans="1:7" s="263" customFormat="1" ht="15">
      <c r="A7" s="276" t="s">
        <v>296</v>
      </c>
      <c r="B7" s="372">
        <v>13</v>
      </c>
      <c r="C7" s="277"/>
      <c r="D7" s="262"/>
      <c r="E7" s="469"/>
      <c r="F7" s="469"/>
      <c r="G7" s="469"/>
    </row>
    <row r="8" spans="1:7" s="263" customFormat="1" ht="15">
      <c r="A8" s="276" t="s">
        <v>331</v>
      </c>
      <c r="B8" s="372">
        <v>28</v>
      </c>
      <c r="C8" s="277"/>
      <c r="D8" s="262"/>
      <c r="E8" s="469"/>
      <c r="F8" s="469"/>
      <c r="G8" s="469"/>
    </row>
    <row r="9" spans="1:21" ht="15" customHeight="1" hidden="1">
      <c r="A9" s="233"/>
      <c r="B9" s="269"/>
      <c r="C9" s="269"/>
      <c r="D9" s="269"/>
      <c r="E9" s="269"/>
      <c r="F9" s="269"/>
      <c r="G9" s="269"/>
      <c r="H9" s="244"/>
      <c r="I9" s="244"/>
      <c r="J9" s="244"/>
      <c r="K9" s="244"/>
      <c r="L9" s="244"/>
      <c r="M9" s="244"/>
      <c r="N9" s="244"/>
      <c r="O9" s="244"/>
      <c r="P9" s="272"/>
      <c r="Q9" s="272"/>
      <c r="R9" s="272"/>
      <c r="S9" s="272"/>
      <c r="T9" s="272"/>
      <c r="U9" s="272"/>
    </row>
    <row r="10" spans="1:11" ht="15" customHeight="1" hidden="1">
      <c r="A10" s="231"/>
      <c r="B10" s="270"/>
      <c r="C10" s="270"/>
      <c r="D10" s="270"/>
      <c r="E10" s="270"/>
      <c r="F10" s="270"/>
      <c r="G10" s="270"/>
      <c r="H10" s="232"/>
      <c r="I10" s="232"/>
      <c r="J10" s="232"/>
      <c r="K10" s="232"/>
    </row>
    <row r="11" spans="1:11" ht="15" customHeight="1">
      <c r="A11" s="231" t="s">
        <v>281</v>
      </c>
      <c r="B11" s="462" t="s">
        <v>23</v>
      </c>
      <c r="C11" s="463"/>
      <c r="D11" s="470" t="s">
        <v>357</v>
      </c>
      <c r="E11" s="470"/>
      <c r="F11" s="232"/>
      <c r="G11" s="232"/>
      <c r="H11" s="232"/>
      <c r="I11" s="232"/>
      <c r="J11" s="232"/>
      <c r="K11" s="232"/>
    </row>
    <row r="12" spans="1:21" ht="15" customHeight="1">
      <c r="A12" s="231" t="s">
        <v>282</v>
      </c>
      <c r="B12" s="462" t="s">
        <v>177</v>
      </c>
      <c r="C12" s="463"/>
      <c r="D12" s="470" t="s">
        <v>358</v>
      </c>
      <c r="E12" s="470"/>
      <c r="F12" s="232"/>
      <c r="G12" s="232"/>
      <c r="H12" s="232"/>
      <c r="I12" s="232"/>
      <c r="J12" s="232"/>
      <c r="K12" s="232"/>
      <c r="R12" s="461"/>
      <c r="S12" s="461"/>
      <c r="T12" s="456"/>
      <c r="U12" s="456"/>
    </row>
    <row r="13" spans="1:21" ht="15" hidden="1">
      <c r="A13" s="232"/>
      <c r="B13" s="266"/>
      <c r="C13" s="264"/>
      <c r="D13" s="265"/>
      <c r="E13" s="265"/>
      <c r="F13" s="232"/>
      <c r="G13" s="232"/>
      <c r="H13" s="232"/>
      <c r="I13" s="232"/>
      <c r="J13" s="232"/>
      <c r="K13" s="232"/>
      <c r="R13" s="83"/>
      <c r="S13" s="391"/>
      <c r="T13" s="389"/>
      <c r="U13" s="389"/>
    </row>
    <row r="14" spans="1:21" ht="15" hidden="1">
      <c r="A14" s="232"/>
      <c r="B14" s="267"/>
      <c r="C14" s="265"/>
      <c r="D14" s="265"/>
      <c r="E14" s="265"/>
      <c r="F14" s="232"/>
      <c r="G14" s="232"/>
      <c r="H14" s="232"/>
      <c r="I14" s="232"/>
      <c r="J14" s="232"/>
      <c r="K14" s="232"/>
      <c r="R14" s="18"/>
      <c r="S14" s="388"/>
      <c r="T14" s="389"/>
      <c r="U14" s="389"/>
    </row>
    <row r="15" spans="18:21" ht="12.75" hidden="1">
      <c r="R15" s="18"/>
      <c r="S15" s="388"/>
      <c r="T15" s="389"/>
      <c r="U15" s="389"/>
    </row>
    <row r="16" spans="18:21" ht="12.75" hidden="1">
      <c r="R16" s="18"/>
      <c r="S16" s="388"/>
      <c r="T16" s="389"/>
      <c r="U16" s="389"/>
    </row>
    <row r="17" spans="18:21" ht="12.75" hidden="1">
      <c r="R17" s="18"/>
      <c r="S17" s="388"/>
      <c r="T17" s="389"/>
      <c r="U17" s="389"/>
    </row>
    <row r="18" spans="18:21" ht="12.75" hidden="1">
      <c r="R18" s="18"/>
      <c r="S18" s="388"/>
      <c r="T18" s="389"/>
      <c r="U18" s="389"/>
    </row>
    <row r="19" spans="1:21" ht="18" customHeight="1">
      <c r="A19" s="487" t="s">
        <v>101</v>
      </c>
      <c r="B19" s="478" t="s">
        <v>266</v>
      </c>
      <c r="C19" s="483" t="s">
        <v>297</v>
      </c>
      <c r="D19" s="484"/>
      <c r="E19" s="324" t="s">
        <v>25</v>
      </c>
      <c r="F19" s="324" t="s">
        <v>26</v>
      </c>
      <c r="G19" s="324" t="s">
        <v>27</v>
      </c>
      <c r="H19" s="324" t="s">
        <v>28</v>
      </c>
      <c r="I19" s="324" t="s">
        <v>29</v>
      </c>
      <c r="J19" s="324" t="s">
        <v>30</v>
      </c>
      <c r="K19" s="324" t="s">
        <v>31</v>
      </c>
      <c r="L19" s="324" t="s">
        <v>32</v>
      </c>
      <c r="M19" s="324" t="s">
        <v>33</v>
      </c>
      <c r="N19" s="324" t="s">
        <v>34</v>
      </c>
      <c r="O19" s="324" t="s">
        <v>36</v>
      </c>
      <c r="P19" s="324" t="s">
        <v>35</v>
      </c>
      <c r="Q19" s="23"/>
      <c r="R19" s="488" t="s">
        <v>100</v>
      </c>
      <c r="S19" s="477" t="s">
        <v>258</v>
      </c>
      <c r="T19" s="460"/>
      <c r="U19" s="460"/>
    </row>
    <row r="20" spans="1:21" ht="18" customHeight="1">
      <c r="A20" s="487"/>
      <c r="B20" s="478"/>
      <c r="C20" s="481">
        <v>2013</v>
      </c>
      <c r="D20" s="482"/>
      <c r="E20" s="325" t="s">
        <v>268</v>
      </c>
      <c r="F20" s="325" t="s">
        <v>265</v>
      </c>
      <c r="G20" s="325" t="s">
        <v>277</v>
      </c>
      <c r="H20" s="325" t="s">
        <v>267</v>
      </c>
      <c r="I20" s="325" t="s">
        <v>269</v>
      </c>
      <c r="J20" s="325" t="s">
        <v>270</v>
      </c>
      <c r="K20" s="325" t="s">
        <v>271</v>
      </c>
      <c r="L20" s="325" t="s">
        <v>272</v>
      </c>
      <c r="M20" s="325" t="s">
        <v>273</v>
      </c>
      <c r="N20" s="325" t="s">
        <v>274</v>
      </c>
      <c r="O20" s="326" t="s">
        <v>275</v>
      </c>
      <c r="P20" s="325" t="s">
        <v>220</v>
      </c>
      <c r="Q20" s="25"/>
      <c r="R20" s="488"/>
      <c r="S20" s="477"/>
      <c r="T20" s="460"/>
      <c r="U20" s="460"/>
    </row>
    <row r="21" spans="1:21" ht="19.5" customHeight="1">
      <c r="A21" s="316" t="str">
        <f>IF(Чорн!$R$1=1,E19,IF(Чорн!$R$1=2,F19,IF(Чорн!$R$1=3,G19,IF(Чорн!$R$1=4,H19,IF(Чорн!$R$1=5,I19,IF(Чорн!$R$1=6,J19,0))))))</f>
        <v>березень</v>
      </c>
      <c r="B21" s="317" t="str">
        <f>IF(Чорн!$R$1=1,E20,IF(Чорн!$R$1=2,F20,IF(Чорн!$R$1=3,G20,IF(Чорн!$R$1=4,H20,IF(Чорн!$R$1=5,I20,IF(Чорн!$R$1=6,J20,0))))))</f>
        <v>березня</v>
      </c>
      <c r="C21" s="479" t="s">
        <v>290</v>
      </c>
      <c r="D21" s="480"/>
      <c r="E21" s="259">
        <v>1147</v>
      </c>
      <c r="F21" s="259">
        <v>1147</v>
      </c>
      <c r="G21" s="259">
        <v>1147</v>
      </c>
      <c r="H21" s="259">
        <v>1147</v>
      </c>
      <c r="I21" s="259">
        <v>1147</v>
      </c>
      <c r="J21" s="259">
        <v>1147</v>
      </c>
      <c r="K21" s="259">
        <v>1147</v>
      </c>
      <c r="L21" s="259">
        <v>1147</v>
      </c>
      <c r="M21" s="259">
        <v>1147</v>
      </c>
      <c r="N21" s="259">
        <v>1147</v>
      </c>
      <c r="O21" s="259">
        <v>1147</v>
      </c>
      <c r="P21" s="259">
        <v>1218</v>
      </c>
      <c r="Q21" s="24"/>
      <c r="R21" s="260">
        <f>IF(Чорн!$R$1=1,E21,IF(Чорн!$R$1=2,F21,IF(Чорн!$R$1=3,G21,IF(Чорн!$R$1=4,H21,IF(Чорн!$R$1=5,I21,IF(Чорн!$R$1=6,J21,0))))))</f>
        <v>1147</v>
      </c>
      <c r="S21" s="261">
        <f>IF(Чорн!$R$1=7,K21,IF(Чорн!$R$1=8,L21,IF(Чорн!$R$1=9,M21,IF(Чорн!$R$1=10,N21,IF(Чорн!$R$1=11,O21,IF(Чорн!$R$1=12,P21,0))))))</f>
        <v>0</v>
      </c>
      <c r="T21" s="390"/>
      <c r="U21" s="390"/>
    </row>
    <row r="22" spans="1:21" ht="19.5" customHeight="1">
      <c r="A22" s="316">
        <f>IF(Чорн!$R$1=7,K19,IF(Чорн!$R$1=8,L19,IF(Чорн!$R$1=9,M19,IF(Чорн!$R$1=10,N19,IF(Чорн!$R$1=11,O19,IF(Чорн!$R$1=12,P19,0))))))</f>
        <v>0</v>
      </c>
      <c r="B22" s="317">
        <f>IF(Чорн!$R$1=7,K20,IF(Чорн!$R$1=8,L20,IF(Чорн!$R$1=9,M20,IF(Чорн!$R$1=10,N20,IF(Чорн!$R$1=11,O20,IF(Чорн!$R$1=12,P20,0))))))</f>
        <v>0</v>
      </c>
      <c r="C22" s="479" t="s">
        <v>15</v>
      </c>
      <c r="D22" s="480"/>
      <c r="E22" s="259">
        <v>1147</v>
      </c>
      <c r="F22" s="259">
        <v>1147</v>
      </c>
      <c r="G22" s="259">
        <v>1147</v>
      </c>
      <c r="H22" s="259">
        <v>1147</v>
      </c>
      <c r="I22" s="259">
        <v>1147</v>
      </c>
      <c r="J22" s="259">
        <v>1147</v>
      </c>
      <c r="K22" s="259">
        <v>1147</v>
      </c>
      <c r="L22" s="259">
        <v>1147</v>
      </c>
      <c r="M22" s="259">
        <v>1147</v>
      </c>
      <c r="N22" s="259">
        <v>1147</v>
      </c>
      <c r="O22" s="259">
        <v>1147</v>
      </c>
      <c r="P22" s="259">
        <v>1218</v>
      </c>
      <c r="Q22" s="24"/>
      <c r="R22" s="260">
        <f>IF(Чорн!$R$1=1,E22,IF(Чорн!$R$1=2,F22,IF(Чорн!$R$1=3,G22,IF(Чорн!$R$1=4,H22,IF(Чорн!$R$1=5,I22,IF(Чорн!$R$1=6,J22,0))))))</f>
        <v>1147</v>
      </c>
      <c r="S22" s="261">
        <f>IF(Чорн!$R$1=7,K22,IF(Чорн!$R$1=8,L22,IF(Чорн!$R$1=9,M22,IF(Чорн!$R$1=10,N22,IF(Чорн!$R$1=11,O22,IF(Чорн!$R$1=12,P22,0))))))</f>
        <v>0</v>
      </c>
      <c r="T22" s="390"/>
      <c r="U22" s="390"/>
    </row>
    <row r="23" spans="1:21" ht="19.5" customHeight="1">
      <c r="A23" s="23"/>
      <c r="B23" s="23"/>
      <c r="C23" s="480" t="s">
        <v>291</v>
      </c>
      <c r="D23" s="480"/>
      <c r="E23" s="259">
        <v>1610</v>
      </c>
      <c r="F23" s="259">
        <v>1610</v>
      </c>
      <c r="G23" s="259">
        <v>1610</v>
      </c>
      <c r="H23" s="259">
        <v>1610</v>
      </c>
      <c r="I23" s="259">
        <v>1610</v>
      </c>
      <c r="J23" s="259">
        <v>1610</v>
      </c>
      <c r="K23" s="259">
        <v>1610</v>
      </c>
      <c r="L23" s="259">
        <v>1610</v>
      </c>
      <c r="M23" s="259">
        <v>1610</v>
      </c>
      <c r="N23" s="259">
        <v>1610</v>
      </c>
      <c r="O23" s="259">
        <v>1610</v>
      </c>
      <c r="P23" s="259">
        <v>1610</v>
      </c>
      <c r="Q23" s="24"/>
      <c r="R23" s="260">
        <f>IF(Чорн!$R$1=1,E23,IF(Чорн!$R$1=2,F23,IF(Чорн!$R$1=3,G23,IF(Чорн!$R$1=4,H23,IF(Чорн!$R$1=5,I23,IF(Чорн!$R$1=6,J23,0))))))</f>
        <v>1610</v>
      </c>
      <c r="S23" s="261">
        <f>IF(Чорн!$R$1=7,K23,IF(Чорн!$R$1=8,L23,IF(Чорн!$R$1=9,M23,IF(Чорн!$R$1=10,N23,IF(Чорн!$R$1=11,O23,IF(Чорн!$R$1=12,P23,0))))))</f>
        <v>0</v>
      </c>
      <c r="T23" s="390"/>
      <c r="U23" s="390"/>
    </row>
    <row r="24" spans="1:24" ht="19.5" customHeight="1">
      <c r="A24" s="240"/>
      <c r="B24" s="240"/>
      <c r="C24" s="491" t="s">
        <v>231</v>
      </c>
      <c r="D24" s="491"/>
      <c r="E24" s="493">
        <v>573.5</v>
      </c>
      <c r="F24" s="493"/>
      <c r="G24" s="493"/>
      <c r="H24" s="494" t="s">
        <v>232</v>
      </c>
      <c r="I24" s="494"/>
      <c r="J24" s="489">
        <v>860.25</v>
      </c>
      <c r="K24" s="489"/>
      <c r="L24" s="489"/>
      <c r="M24" s="490" t="s">
        <v>240</v>
      </c>
      <c r="N24" s="490"/>
      <c r="O24" s="492">
        <v>1147</v>
      </c>
      <c r="P24" s="492"/>
      <c r="Q24" s="24"/>
      <c r="R24" s="24"/>
      <c r="S24" s="24"/>
      <c r="T24" s="23"/>
      <c r="X24" s="334"/>
    </row>
    <row r="25" spans="1:24" ht="30" customHeight="1">
      <c r="A25" s="221" t="s">
        <v>239</v>
      </c>
      <c r="B25" s="221" t="s">
        <v>233</v>
      </c>
      <c r="C25" s="468" t="s">
        <v>19</v>
      </c>
      <c r="D25" s="468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169"/>
      <c r="R25" s="318" t="s">
        <v>228</v>
      </c>
      <c r="S25" s="319" t="s">
        <v>257</v>
      </c>
      <c r="T25" s="320" t="s">
        <v>39</v>
      </c>
      <c r="U25" s="321" t="s">
        <v>230</v>
      </c>
      <c r="V25" s="322" t="s">
        <v>229</v>
      </c>
      <c r="W25" s="323" t="s">
        <v>308</v>
      </c>
      <c r="X25" s="335" t="s">
        <v>314</v>
      </c>
    </row>
    <row r="26" spans="1:24" ht="19.5" customHeight="1">
      <c r="A26" s="362"/>
      <c r="B26" s="363"/>
      <c r="C26" s="485"/>
      <c r="D26" s="486"/>
      <c r="E26" s="366">
        <v>2328</v>
      </c>
      <c r="F26" s="366">
        <v>2328</v>
      </c>
      <c r="G26" s="366">
        <v>2328</v>
      </c>
      <c r="H26" s="366">
        <v>2328</v>
      </c>
      <c r="I26" s="366">
        <v>2328</v>
      </c>
      <c r="J26" s="366">
        <v>2328</v>
      </c>
      <c r="K26" s="366">
        <v>2328</v>
      </c>
      <c r="L26" s="366">
        <v>2328</v>
      </c>
      <c r="M26" s="366">
        <v>2328</v>
      </c>
      <c r="N26" s="366">
        <v>2328</v>
      </c>
      <c r="O26" s="366">
        <v>2328</v>
      </c>
      <c r="P26" s="366">
        <v>2328</v>
      </c>
      <c r="Q26" s="170"/>
      <c r="R26" s="257">
        <f>IF(Чорн!$R$1=1,E26,IF(Чорн!$R$1=2,F26,IF(Чорн!$R$1=3,G26,IF(Чорн!$R$1=4,H26,IF(Чорн!$R$1=5,I26,IF(Чорн!$R$1=6,J26,0))))))</f>
        <v>2328</v>
      </c>
      <c r="S26" s="258">
        <f>IF(Чорн!$R$1=7,K26,IF(Чорн!$R$1=8,L26,IF(Чорн!$R$1=9,M26,IF(Чорн!$R$1=10,N26,IF(Чорн!$R$1=11,O26,IF(Чорн!$R$1=12,P26,0))))))</f>
        <v>0</v>
      </c>
      <c r="T26" s="367">
        <v>90</v>
      </c>
      <c r="U26" s="368"/>
      <c r="V26" s="369">
        <f>IF(($R$23+$S$23)&gt;Чорн!Q8,$E$24,0)</f>
        <v>0</v>
      </c>
      <c r="W26" s="370">
        <v>1</v>
      </c>
      <c r="X26" s="392"/>
    </row>
    <row r="27" spans="1:24" ht="19.5" customHeight="1">
      <c r="A27" s="362"/>
      <c r="B27" s="363"/>
      <c r="C27" s="485"/>
      <c r="D27" s="486"/>
      <c r="E27" s="366">
        <v>1886</v>
      </c>
      <c r="F27" s="366">
        <v>1886</v>
      </c>
      <c r="G27" s="366">
        <v>1886</v>
      </c>
      <c r="H27" s="366">
        <v>1886</v>
      </c>
      <c r="I27" s="366">
        <v>1886</v>
      </c>
      <c r="J27" s="366">
        <v>1886</v>
      </c>
      <c r="K27" s="366">
        <v>1886</v>
      </c>
      <c r="L27" s="366">
        <v>1886</v>
      </c>
      <c r="M27" s="366">
        <v>1886</v>
      </c>
      <c r="N27" s="366">
        <v>1886</v>
      </c>
      <c r="O27" s="366">
        <v>1886</v>
      </c>
      <c r="P27" s="366">
        <v>1886</v>
      </c>
      <c r="Q27" s="170"/>
      <c r="R27" s="257">
        <f>IF(Чорн!$R$1=1,E27,IF(Чорн!$R$1=2,F27,IF(Чорн!$R$1=3,G27,IF(Чорн!$R$1=4,H27,IF(Чорн!$R$1=5,I27,IF(Чорн!$R$1=6,J27,0))))))</f>
        <v>1886</v>
      </c>
      <c r="S27" s="258">
        <f>IF(Чорн!$R$1=7,K27,IF(Чорн!$R$1=8,L27,IF(Чорн!$R$1=9,M27,IF(Чорн!$R$1=10,N27,IF(Чорн!$R$1=11,O27,IF(Чорн!$R$1=12,P27,0))))))</f>
        <v>0</v>
      </c>
      <c r="T27" s="367">
        <v>80</v>
      </c>
      <c r="U27" s="368">
        <v>0.25</v>
      </c>
      <c r="V27" s="369">
        <f>IF(($R$23+$S$23)&gt;Чорн!Q9,$E$24,0)</f>
        <v>573.5</v>
      </c>
      <c r="W27" s="370">
        <v>1</v>
      </c>
      <c r="X27" s="392"/>
    </row>
    <row r="28" spans="1:24" ht="19.5" customHeight="1">
      <c r="A28" s="362"/>
      <c r="B28" s="363"/>
      <c r="C28" s="485"/>
      <c r="D28" s="486"/>
      <c r="E28" s="366">
        <v>1281</v>
      </c>
      <c r="F28" s="366">
        <v>1281</v>
      </c>
      <c r="G28" s="366">
        <v>1281</v>
      </c>
      <c r="H28" s="366">
        <v>1281</v>
      </c>
      <c r="I28" s="366">
        <v>1281</v>
      </c>
      <c r="J28" s="366">
        <v>1281</v>
      </c>
      <c r="K28" s="366">
        <v>1281</v>
      </c>
      <c r="L28" s="366">
        <v>1281</v>
      </c>
      <c r="M28" s="366">
        <v>1281</v>
      </c>
      <c r="N28" s="366">
        <v>1281</v>
      </c>
      <c r="O28" s="366">
        <v>1281</v>
      </c>
      <c r="P28" s="366">
        <v>1281</v>
      </c>
      <c r="Q28" s="170"/>
      <c r="R28" s="257">
        <f>IF(Чорн!$R$1=1,E28,IF(Чорн!$R$1=2,F28,IF(Чорн!$R$1=3,G28,IF(Чорн!$R$1=4,H28,IF(Чорн!$R$1=5,I28,IF(Чорн!$R$1=6,J28,0))))))</f>
        <v>1281</v>
      </c>
      <c r="S28" s="258">
        <f>IF(Чорн!$R$1=7,K28,IF(Чорн!$R$1=8,L28,IF(Чорн!$R$1=9,M28,IF(Чорн!$R$1=10,N28,IF(Чорн!$R$1=11,O28,IF(Чорн!$R$1=12,P28,0))))))</f>
        <v>0</v>
      </c>
      <c r="T28" s="367">
        <v>90</v>
      </c>
      <c r="U28" s="368">
        <v>0.2</v>
      </c>
      <c r="V28" s="369">
        <f>IF(($R$23+$S$23)*3&gt;Чорн!Q10,$E$24*3,0)</f>
        <v>1720.5</v>
      </c>
      <c r="W28" s="370">
        <v>1</v>
      </c>
      <c r="X28" s="392"/>
    </row>
    <row r="29" spans="1:24" ht="19.5" customHeight="1">
      <c r="A29" s="362"/>
      <c r="B29" s="363"/>
      <c r="C29" s="485"/>
      <c r="D29" s="486"/>
      <c r="E29" s="366">
        <f>E21</f>
        <v>1147</v>
      </c>
      <c r="F29" s="366">
        <f aca="true" t="shared" si="0" ref="F29:P29">F21</f>
        <v>1147</v>
      </c>
      <c r="G29" s="366">
        <f t="shared" si="0"/>
        <v>1147</v>
      </c>
      <c r="H29" s="366">
        <f t="shared" si="0"/>
        <v>1147</v>
      </c>
      <c r="I29" s="366">
        <f t="shared" si="0"/>
        <v>1147</v>
      </c>
      <c r="J29" s="366">
        <f t="shared" si="0"/>
        <v>1147</v>
      </c>
      <c r="K29" s="366">
        <f t="shared" si="0"/>
        <v>1147</v>
      </c>
      <c r="L29" s="366">
        <f t="shared" si="0"/>
        <v>1147</v>
      </c>
      <c r="M29" s="366">
        <f t="shared" si="0"/>
        <v>1147</v>
      </c>
      <c r="N29" s="366">
        <f t="shared" si="0"/>
        <v>1147</v>
      </c>
      <c r="O29" s="366">
        <f t="shared" si="0"/>
        <v>1147</v>
      </c>
      <c r="P29" s="366">
        <f t="shared" si="0"/>
        <v>1218</v>
      </c>
      <c r="Q29" s="170"/>
      <c r="R29" s="257">
        <f>IF(Чорн!$R$1=1,E29,IF(Чорн!$R$1=2,F29,IF(Чорн!$R$1=3,G29,IF(Чорн!$R$1=4,H29,IF(Чорн!$R$1=5,I29,IF(Чорн!$R$1=6,J29,0))))))</f>
        <v>1147</v>
      </c>
      <c r="S29" s="258">
        <f>IF(Чорн!$R$1=7,K29,IF(Чорн!$R$1=8,L29,IF(Чорн!$R$1=9,M29,IF(Чорн!$R$1=10,N29,IF(Чорн!$R$1=11,O29,IF(Чорн!$R$1=12,P29,0))))))</f>
        <v>0</v>
      </c>
      <c r="T29" s="367"/>
      <c r="U29" s="368"/>
      <c r="V29" s="369">
        <f>IF(($R$23+$S$23)*2&gt;Чорн!Q11,$E$24*2,0)</f>
        <v>1147</v>
      </c>
      <c r="W29" s="370">
        <v>0</v>
      </c>
      <c r="X29" s="392"/>
    </row>
    <row r="30" spans="1:24" ht="19.5" customHeight="1">
      <c r="A30" s="362"/>
      <c r="B30" s="363"/>
      <c r="C30" s="485"/>
      <c r="D30" s="486"/>
      <c r="E30" s="366">
        <f>ROUND(E21/2,0)+ROUND(E21/4,0)</f>
        <v>861</v>
      </c>
      <c r="F30" s="366">
        <f aca="true" t="shared" si="1" ref="F30:P30">ROUND(F21/2,0)+ROUND(F21/4,0)</f>
        <v>861</v>
      </c>
      <c r="G30" s="366">
        <f t="shared" si="1"/>
        <v>861</v>
      </c>
      <c r="H30" s="366">
        <f t="shared" si="1"/>
        <v>861</v>
      </c>
      <c r="I30" s="366">
        <f t="shared" si="1"/>
        <v>861</v>
      </c>
      <c r="J30" s="366">
        <f t="shared" si="1"/>
        <v>861</v>
      </c>
      <c r="K30" s="366">
        <f t="shared" si="1"/>
        <v>861</v>
      </c>
      <c r="L30" s="366">
        <f t="shared" si="1"/>
        <v>861</v>
      </c>
      <c r="M30" s="366">
        <f t="shared" si="1"/>
        <v>861</v>
      </c>
      <c r="N30" s="366">
        <f t="shared" si="1"/>
        <v>861</v>
      </c>
      <c r="O30" s="366">
        <f t="shared" si="1"/>
        <v>861</v>
      </c>
      <c r="P30" s="366">
        <f t="shared" si="1"/>
        <v>914</v>
      </c>
      <c r="Q30" s="170"/>
      <c r="R30" s="257">
        <f>IF(Чорн!$R$1=1,E30,IF(Чорн!$R$1=2,F30,IF(Чорн!$R$1=3,G30,IF(Чорн!$R$1=4,H30,IF(Чорн!$R$1=5,I30,IF(Чорн!$R$1=6,J30,0))))))</f>
        <v>861</v>
      </c>
      <c r="S30" s="258">
        <f>IF(Чорн!$R$1=7,K30,IF(Чорн!$R$1=8,L30,IF(Чорн!$R$1=9,M30,IF(Чорн!$R$1=10,N30,IF(Чорн!$R$1=11,O30,IF(Чорн!$R$1=12,P30,0))))))</f>
        <v>0</v>
      </c>
      <c r="T30" s="367"/>
      <c r="U30" s="368"/>
      <c r="V30" s="369">
        <f>IF(($R$23+$S$23)&gt;Чорн!Q12,$E$24,0)</f>
        <v>573.5</v>
      </c>
      <c r="W30" s="370">
        <v>0</v>
      </c>
      <c r="X30" s="392"/>
    </row>
    <row r="31" spans="1:24" ht="19.5" customHeight="1">
      <c r="A31" s="362"/>
      <c r="B31" s="363"/>
      <c r="C31" s="485"/>
      <c r="D31" s="48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170"/>
      <c r="R31" s="257">
        <f>IF(Чорн!$R$1=1,E31,IF(Чорн!$R$1=2,F31,IF(Чорн!$R$1=3,G31,IF(Чорн!$R$1=4,H31,IF(Чорн!$R$1=5,I31,IF(Чорн!$R$1=6,J31,0))))))</f>
        <v>0</v>
      </c>
      <c r="S31" s="258">
        <f>IF(Чорн!$R$1=7,K31,IF(Чорн!$R$1=8,L31,IF(Чорн!$R$1=9,M31,IF(Чорн!$R$1=10,N31,IF(Чорн!$R$1=11,O31,IF(Чорн!$R$1=12,P31,0))))))</f>
        <v>0</v>
      </c>
      <c r="T31" s="367"/>
      <c r="U31" s="368"/>
      <c r="V31" s="369">
        <f>IF(($R$23+$S$23)&gt;Чорн!Q13,$E$24,0)</f>
        <v>573.5</v>
      </c>
      <c r="W31" s="370">
        <v>0</v>
      </c>
      <c r="X31" s="392"/>
    </row>
    <row r="32" spans="1:24" ht="19.5" customHeight="1">
      <c r="A32" s="362"/>
      <c r="B32" s="363"/>
      <c r="C32" s="485"/>
      <c r="D32" s="48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170"/>
      <c r="R32" s="257">
        <f>IF(Чорн!$R$1=1,E32,IF(Чорн!$R$1=2,F32,IF(Чорн!$R$1=3,G32,IF(Чорн!$R$1=4,H32,IF(Чорн!$R$1=5,I32,IF(Чорн!$R$1=6,J32,0))))))</f>
        <v>0</v>
      </c>
      <c r="S32" s="258">
        <f>IF(Чорн!$R$1=7,K32,IF(Чорн!$R$1=8,L32,IF(Чорн!$R$1=9,M32,IF(Чорн!$R$1=10,N32,IF(Чорн!$R$1=11,O32,IF(Чорн!$R$1=12,P32,0))))))</f>
        <v>0</v>
      </c>
      <c r="T32" s="367"/>
      <c r="U32" s="368"/>
      <c r="V32" s="369">
        <f>IF(($R$23+$S$23)&gt;Чорн!Q14,$E$24,0)</f>
        <v>573.5</v>
      </c>
      <c r="W32" s="370">
        <v>0</v>
      </c>
      <c r="X32" s="392"/>
    </row>
    <row r="33" spans="1:24" ht="19.5" customHeight="1">
      <c r="A33" s="362"/>
      <c r="B33" s="363"/>
      <c r="C33" s="485"/>
      <c r="D33" s="48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170"/>
      <c r="R33" s="257">
        <f>IF(Чорн!$R$1=1,E33,IF(Чорн!$R$1=2,F33,IF(Чорн!$R$1=3,G33,IF(Чорн!$R$1=4,H33,IF(Чорн!$R$1=5,I33,IF(Чорн!$R$1=6,J33,0))))))</f>
        <v>0</v>
      </c>
      <c r="S33" s="258">
        <f>IF(Чорн!$R$1=7,K33,IF(Чорн!$R$1=8,L33,IF(Чорн!$R$1=9,M33,IF(Чорн!$R$1=10,N33,IF(Чорн!$R$1=11,O33,IF(Чорн!$R$1=12,P33,0))))))</f>
        <v>0</v>
      </c>
      <c r="T33" s="367"/>
      <c r="U33" s="368"/>
      <c r="V33" s="369">
        <f>IF(($R$23+$S$23)&gt;Чорн!Q15,$E$24,0)</f>
        <v>573.5</v>
      </c>
      <c r="W33" s="370">
        <v>0</v>
      </c>
      <c r="X33" s="392"/>
    </row>
    <row r="34" spans="1:24" ht="19.5" customHeight="1">
      <c r="A34" s="362"/>
      <c r="B34" s="363"/>
      <c r="C34" s="485"/>
      <c r="D34" s="48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170"/>
      <c r="R34" s="257">
        <f>IF(Чорн!$R$1=1,E34,IF(Чорн!$R$1=2,F34,IF(Чорн!$R$1=3,G34,IF(Чорн!$R$1=4,H34,IF(Чорн!$R$1=5,I34,IF(Чорн!$R$1=6,J34,0))))))</f>
        <v>0</v>
      </c>
      <c r="S34" s="258">
        <f>IF(Чорн!$R$1=7,K34,IF(Чорн!$R$1=8,L34,IF(Чорн!$R$1=9,M34,IF(Чорн!$R$1=10,N34,IF(Чорн!$R$1=11,O34,IF(Чорн!$R$1=12,P34,0))))))</f>
        <v>0</v>
      </c>
      <c r="T34" s="367"/>
      <c r="U34" s="368"/>
      <c r="V34" s="369">
        <f>IF(($R$23+$S$23)&gt;Чорн!Q20,$E$24,0)</f>
        <v>573.5</v>
      </c>
      <c r="W34" s="370">
        <v>0</v>
      </c>
      <c r="X34" s="392"/>
    </row>
    <row r="35" spans="1:24" ht="19.5" customHeight="1">
      <c r="A35" s="362"/>
      <c r="B35" s="363"/>
      <c r="C35" s="485"/>
      <c r="D35" s="48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170"/>
      <c r="R35" s="257">
        <f>IF(Чорн!$R$1=1,E35,IF(Чорн!$R$1=2,F35,IF(Чорн!$R$1=3,G35,IF(Чорн!$R$1=4,H35,IF(Чорн!$R$1=5,I35,IF(Чорн!$R$1=6,J35,0))))))</f>
        <v>0</v>
      </c>
      <c r="S35" s="258">
        <f>IF(Чорн!$R$1=7,K35,IF(Чорн!$R$1=8,L35,IF(Чорн!$R$1=9,M35,IF(Чорн!$R$1=10,N35,IF(Чорн!$R$1=11,O35,IF(Чорн!$R$1=12,P35,0))))))</f>
        <v>0</v>
      </c>
      <c r="T35" s="367"/>
      <c r="U35" s="368"/>
      <c r="V35" s="369">
        <f>IF(($R$23+$S$23)&gt;Чорн!Q22,$E$24,0)</f>
        <v>573.5</v>
      </c>
      <c r="W35" s="370">
        <v>0</v>
      </c>
      <c r="X35" s="392"/>
    </row>
    <row r="36" spans="1:24" ht="19.5" customHeight="1">
      <c r="A36" s="362"/>
      <c r="B36" s="363"/>
      <c r="C36" s="485"/>
      <c r="D36" s="48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170"/>
      <c r="R36" s="257">
        <f>IF(Чорн!$R$1=1,E36,IF(Чорн!$R$1=2,F36,IF(Чорн!$R$1=3,G36,IF(Чорн!$R$1=4,H36,IF(Чорн!$R$1=5,I36,IF(Чорн!$R$1=6,J36,0))))))</f>
        <v>0</v>
      </c>
      <c r="S36" s="258">
        <f>IF(Чорн!$R$1=7,K36,IF(Чорн!$R$1=8,L36,IF(Чорн!$R$1=9,M36,IF(Чорн!$R$1=10,N36,IF(Чорн!$R$1=11,O36,IF(Чорн!$R$1=12,P36,0))))))</f>
        <v>0</v>
      </c>
      <c r="T36" s="367"/>
      <c r="U36" s="368"/>
      <c r="V36" s="369">
        <f>IF(($R$23+$S$23)&gt;Чорн!Q23,$E$24,0)</f>
        <v>0</v>
      </c>
      <c r="W36" s="370">
        <v>0</v>
      </c>
      <c r="X36" s="392"/>
    </row>
    <row r="37" spans="1:24" ht="19.5" customHeight="1">
      <c r="A37" s="362"/>
      <c r="B37" s="363"/>
      <c r="C37" s="485"/>
      <c r="D37" s="48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170"/>
      <c r="R37" s="257">
        <f>IF(Чорн!$R$1=1,E37,IF(Чорн!$R$1=2,F37,IF(Чорн!$R$1=3,G37,IF(Чорн!$R$1=4,H37,IF(Чорн!$R$1=5,I37,IF(Чорн!$R$1=6,J37,0))))))</f>
        <v>0</v>
      </c>
      <c r="S37" s="258">
        <f>IF(Чорн!$R$1=7,K37,IF(Чорн!$R$1=8,L37,IF(Чорн!$R$1=9,M37,IF(Чорн!$R$1=10,N37,IF(Чорн!$R$1=11,O37,IF(Чорн!$R$1=12,P37,0))))))</f>
        <v>0</v>
      </c>
      <c r="T37" s="367"/>
      <c r="U37" s="368"/>
      <c r="V37" s="369">
        <f>IF(($R$23+$S$23)&gt;Чорн!Q24,$E$24,0)</f>
        <v>573.5</v>
      </c>
      <c r="W37" s="370">
        <v>0</v>
      </c>
      <c r="X37" s="392"/>
    </row>
    <row r="38" spans="1:24" ht="19.5" customHeight="1">
      <c r="A38" s="362"/>
      <c r="B38" s="363"/>
      <c r="C38" s="485"/>
      <c r="D38" s="48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170"/>
      <c r="R38" s="257">
        <f>IF(Чорн!$R$1=1,E38,IF(Чорн!$R$1=2,F38,IF(Чорн!$R$1=3,G38,IF(Чорн!$R$1=4,H38,IF(Чорн!$R$1=5,I38,IF(Чорн!$R$1=6,J38,0))))))</f>
        <v>0</v>
      </c>
      <c r="S38" s="258">
        <f>IF(Чорн!$R$1=7,K38,IF(Чорн!$R$1=8,L38,IF(Чорн!$R$1=9,M38,IF(Чорн!$R$1=10,N38,IF(Чорн!$R$1=11,O38,IF(Чорн!$R$1=12,P38,0))))))</f>
        <v>0</v>
      </c>
      <c r="T38" s="367"/>
      <c r="U38" s="368"/>
      <c r="V38" s="369">
        <f>IF(($R$23+$S$23)&gt;Чорн!Q25,$E$24,0)</f>
        <v>573.5</v>
      </c>
      <c r="W38" s="370">
        <v>0</v>
      </c>
      <c r="X38" s="392"/>
    </row>
    <row r="39" spans="1:24" ht="19.5" customHeight="1">
      <c r="A39" s="362"/>
      <c r="B39" s="363"/>
      <c r="C39" s="485"/>
      <c r="D39" s="48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170"/>
      <c r="R39" s="257">
        <f>IF(Чорн!$R$1=1,E39,IF(Чорн!$R$1=2,F39,IF(Чорн!$R$1=3,G39,IF(Чорн!$R$1=4,H39,IF(Чорн!$R$1=5,I39,IF(Чорн!$R$1=6,J39,0))))))</f>
        <v>0</v>
      </c>
      <c r="S39" s="258">
        <f>IF(Чорн!$R$1=7,K39,IF(Чорн!$R$1=8,L39,IF(Чорн!$R$1=9,M39,IF(Чорн!$R$1=10,N39,IF(Чорн!$R$1=11,O39,IF(Чорн!$R$1=12,P39,0))))))</f>
        <v>0</v>
      </c>
      <c r="T39" s="367"/>
      <c r="U39" s="368"/>
      <c r="V39" s="369">
        <f>IF(($R$23+$S$23)&gt;Чорн!Q26,$E$24,0)</f>
        <v>573.5</v>
      </c>
      <c r="W39" s="370">
        <v>0</v>
      </c>
      <c r="X39" s="392"/>
    </row>
    <row r="40" spans="1:24" ht="19.5" customHeight="1">
      <c r="A40" s="362"/>
      <c r="B40" s="363"/>
      <c r="C40" s="485"/>
      <c r="D40" s="48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170"/>
      <c r="R40" s="257">
        <f>IF(Чорн!$R$1=1,E40,IF(Чорн!$R$1=2,F40,IF(Чорн!$R$1=3,G40,IF(Чорн!$R$1=4,H40,IF(Чорн!$R$1=5,I40,IF(Чорн!$R$1=6,J40,0))))))</f>
        <v>0</v>
      </c>
      <c r="S40" s="258">
        <f>IF(Чорн!$R$1=7,K40,IF(Чорн!$R$1=8,L40,IF(Чорн!$R$1=9,M40,IF(Чорн!$R$1=10,N40,IF(Чорн!$R$1=11,O40,IF(Чорн!$R$1=12,P40,0))))))</f>
        <v>0</v>
      </c>
      <c r="T40" s="367"/>
      <c r="U40" s="368"/>
      <c r="V40" s="369">
        <f>IF(($R$23+$S$23)&gt;Чорн!Q22,$E$24,0)</f>
        <v>573.5</v>
      </c>
      <c r="W40" s="370">
        <v>0</v>
      </c>
      <c r="X40" s="392"/>
    </row>
    <row r="41" spans="1:24" ht="19.5" customHeight="1">
      <c r="A41" s="364"/>
      <c r="B41" s="365"/>
      <c r="C41" s="495"/>
      <c r="D41" s="49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170"/>
      <c r="R41" s="257">
        <f>IF(Чорн!$R$1=1,E41,IF(Чорн!$R$1=2,F41,IF(Чорн!$R$1=3,G41,IF(Чорн!$R$1=4,H41,IF(Чорн!$R$1=5,I41,IF(Чорн!$R$1=6,J41,0))))))</f>
        <v>0</v>
      </c>
      <c r="S41" s="258">
        <f>IF(Чорн!$R$1=7,K41,IF(Чорн!$R$1=8,L41,IF(Чорн!$R$1=9,M41,IF(Чорн!$R$1=10,N41,IF(Чорн!$R$1=11,O41,IF(Чорн!$R$1=12,P41,0))))))</f>
        <v>0</v>
      </c>
      <c r="T41" s="371"/>
      <c r="U41" s="368"/>
      <c r="V41" s="369">
        <f>IF(($R$23+$S$23)&gt;Чорн!Q23,$E$24,0)</f>
        <v>0</v>
      </c>
      <c r="W41" s="370">
        <v>0</v>
      </c>
      <c r="X41" s="392"/>
    </row>
    <row r="42" spans="1:24" ht="19.5" customHeight="1">
      <c r="A42" s="364"/>
      <c r="B42" s="365"/>
      <c r="C42" s="495"/>
      <c r="D42" s="49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24"/>
      <c r="R42" s="257">
        <f>IF(Чорн!$R$1=1,E42,IF(Чорн!$R$1=2,F42,IF(Чорн!$R$1=3,G42,IF(Чорн!$R$1=4,H42,IF(Чорн!$R$1=5,I42,IF(Чорн!$R$1=6,J42,0))))))</f>
        <v>0</v>
      </c>
      <c r="S42" s="258">
        <f>IF(Чорн!$R$1=7,K42,IF(Чорн!$R$1=8,L42,IF(Чорн!$R$1=9,M42,IF(Чорн!$R$1=10,N42,IF(Чорн!$R$1=11,O42,IF(Чорн!$R$1=12,P42,0))))))</f>
        <v>0</v>
      </c>
      <c r="T42" s="371"/>
      <c r="U42" s="368"/>
      <c r="V42" s="369">
        <f>IF(($R$23+$S$23)&gt;Чорн!Q24,$E$24,0)</f>
        <v>573.5</v>
      </c>
      <c r="W42" s="370"/>
      <c r="X42" s="392"/>
    </row>
    <row r="43" spans="1:24" ht="19.5" customHeight="1">
      <c r="A43" s="364"/>
      <c r="B43" s="365"/>
      <c r="C43" s="475"/>
      <c r="D43" s="47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24"/>
      <c r="R43" s="257">
        <f>IF(Чорн!$R$1=1,E43,IF(Чорн!$R$1=2,F43,IF(Чорн!$R$1=3,G43,IF(Чорн!$R$1=4,H43,IF(Чорн!$R$1=5,I43,IF(Чорн!$R$1=6,J43,0))))))</f>
        <v>0</v>
      </c>
      <c r="S43" s="258">
        <f>IF(Чорн!$R$1=7,K43,IF(Чорн!$R$1=8,L43,IF(Чорн!$R$1=9,M43,IF(Чорн!$R$1=10,N43,IF(Чорн!$R$1=11,O43,IF(Чорн!$R$1=12,P43,0))))))</f>
        <v>0</v>
      </c>
      <c r="T43" s="371"/>
      <c r="U43" s="368"/>
      <c r="V43" s="369">
        <f>IF(($R$23+$S$23)&gt;Чорн!Q25,$E$24,0)</f>
        <v>573.5</v>
      </c>
      <c r="W43" s="370">
        <v>0</v>
      </c>
      <c r="X43" s="392"/>
    </row>
    <row r="44" spans="1:24" ht="19.5" customHeight="1">
      <c r="A44" s="364"/>
      <c r="B44" s="365"/>
      <c r="C44" s="355"/>
      <c r="D44" s="35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24"/>
      <c r="R44" s="257">
        <f>IF(Чорн!$R$1=1,E44,IF(Чорн!$R$1=2,F44,IF(Чорн!$R$1=3,G44,IF(Чорн!$R$1=4,H44,IF(Чорн!$R$1=5,I44,IF(Чорн!$R$1=6,J44,0))))))</f>
        <v>0</v>
      </c>
      <c r="S44" s="258">
        <f>IF(Чорн!$R$1=7,K44,IF(Чорн!$R$1=8,L44,IF(Чорн!$R$1=9,M44,IF(Чорн!$R$1=10,N44,IF(Чорн!$R$1=11,O44,IF(Чорн!$R$1=12,P44,0))))))</f>
        <v>0</v>
      </c>
      <c r="T44" s="371"/>
      <c r="U44" s="368"/>
      <c r="V44" s="369">
        <f>IF(($R$23+$S$23)&gt;Чорн!Q26,$E$24,0)</f>
        <v>573.5</v>
      </c>
      <c r="W44" s="370">
        <v>0</v>
      </c>
      <c r="X44" s="392"/>
    </row>
    <row r="45" spans="1:24" ht="19.5" customHeight="1">
      <c r="A45" s="364"/>
      <c r="B45" s="365"/>
      <c r="C45" s="355"/>
      <c r="D45" s="35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24"/>
      <c r="R45" s="257">
        <f>IF(Чорн!$R$1=1,E45,IF(Чорн!$R$1=2,F45,IF(Чорн!$R$1=3,G45,IF(Чорн!$R$1=4,H45,IF(Чорн!$R$1=5,I45,IF(Чорн!$R$1=6,J45,0))))))</f>
        <v>0</v>
      </c>
      <c r="S45" s="258">
        <f>IF(Чорн!$R$1=7,K45,IF(Чорн!$R$1=8,L45,IF(Чорн!$R$1=9,M45,IF(Чорн!$R$1=10,N45,IF(Чорн!$R$1=11,O45,IF(Чорн!$R$1=12,P45,0))))))</f>
        <v>0</v>
      </c>
      <c r="T45" s="371"/>
      <c r="U45" s="368"/>
      <c r="V45" s="369">
        <f>IF(($R$23+$S$23)&gt;Чорн!Q27,$E$24,0)</f>
        <v>573.5</v>
      </c>
      <c r="W45" s="370">
        <v>0</v>
      </c>
      <c r="X45" s="392"/>
    </row>
    <row r="46" spans="1:24" ht="19.5" customHeight="1">
      <c r="A46" s="364"/>
      <c r="B46" s="365"/>
      <c r="C46" s="355"/>
      <c r="D46" s="35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24"/>
      <c r="R46" s="257">
        <f>IF(Чорн!$R$1=1,E46,IF(Чорн!$R$1=2,F46,IF(Чорн!$R$1=3,G46,IF(Чорн!$R$1=4,H46,IF(Чорн!$R$1=5,I46,IF(Чорн!$R$1=6,J46,0))))))</f>
        <v>0</v>
      </c>
      <c r="S46" s="258">
        <f>IF(Чорн!$R$1=7,K46,IF(Чорн!$R$1=8,L46,IF(Чорн!$R$1=9,M46,IF(Чорн!$R$1=10,N46,IF(Чорн!$R$1=11,O46,IF(Чорн!$R$1=12,P46,0))))))</f>
        <v>0</v>
      </c>
      <c r="T46" s="371"/>
      <c r="U46" s="368"/>
      <c r="V46" s="369">
        <f>IF(($R$23+$S$23)&gt;Чорн!Q28,$E$24,0)</f>
        <v>573.5</v>
      </c>
      <c r="W46" s="370">
        <v>0</v>
      </c>
      <c r="X46" s="392"/>
    </row>
    <row r="47" spans="1:24" ht="19.5" customHeight="1">
      <c r="A47" s="364"/>
      <c r="B47" s="365"/>
      <c r="C47" s="355"/>
      <c r="D47" s="35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24"/>
      <c r="R47" s="257">
        <f>IF(Чорн!$R$1=1,E47,IF(Чорн!$R$1=2,F47,IF(Чорн!$R$1=3,G47,IF(Чорн!$R$1=4,H47,IF(Чорн!$R$1=5,I47,IF(Чорн!$R$1=6,J47,0))))))</f>
        <v>0</v>
      </c>
      <c r="S47" s="258">
        <f>IF(Чорн!$R$1=7,K47,IF(Чорн!$R$1=8,L47,IF(Чорн!$R$1=9,M47,IF(Чорн!$R$1=10,N47,IF(Чорн!$R$1=11,O47,IF(Чорн!$R$1=12,P47,0))))))</f>
        <v>0</v>
      </c>
      <c r="T47" s="371"/>
      <c r="U47" s="368"/>
      <c r="V47" s="369">
        <f>IF(($R$23+$S$23)&gt;Чорн!Q29,$E$24,0)</f>
        <v>573.5</v>
      </c>
      <c r="W47" s="370">
        <v>0</v>
      </c>
      <c r="X47" s="392"/>
    </row>
    <row r="48" spans="1:24" ht="22.5" customHeight="1">
      <c r="A48" s="364"/>
      <c r="B48" s="365"/>
      <c r="C48" s="355"/>
      <c r="D48" s="35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24"/>
      <c r="R48" s="257">
        <f>IF(Чорн!$R$1=1,E48,IF(Чорн!$R$1=2,F48,IF(Чорн!$R$1=3,G48,IF(Чорн!$R$1=4,H48,IF(Чорн!$R$1=5,I48,IF(Чорн!$R$1=6,J48,0))))))</f>
        <v>0</v>
      </c>
      <c r="S48" s="258">
        <f>IF(Чорн!$R$1=7,K48,IF(Чорн!$R$1=8,L48,IF(Чорн!$R$1=9,M48,IF(Чорн!$R$1=10,N48,IF(Чорн!$R$1=11,O48,IF(Чорн!$R$1=12,P48,0))))))</f>
        <v>0</v>
      </c>
      <c r="T48" s="371"/>
      <c r="U48" s="368"/>
      <c r="V48" s="369">
        <f>IF(($R$23+$S$23)&gt;Чорн!Q30,$E$24,0)</f>
        <v>573.5</v>
      </c>
      <c r="W48" s="370">
        <v>0</v>
      </c>
      <c r="X48" s="392"/>
    </row>
    <row r="49" spans="1:24" ht="19.5" customHeight="1">
      <c r="A49" s="364"/>
      <c r="B49" s="365"/>
      <c r="C49" s="475"/>
      <c r="D49" s="47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24"/>
      <c r="R49" s="257">
        <f>IF(Чорн!$R$1=1,E49,IF(Чорн!$R$1=2,F49,IF(Чорн!$R$1=3,G49,IF(Чорн!$R$1=4,H49,IF(Чорн!$R$1=5,I49,IF(Чорн!$R$1=6,J49,0))))))</f>
        <v>0</v>
      </c>
      <c r="S49" s="258">
        <f>IF(Чорн!$R$1=7,K49,IF(Чорн!$R$1=8,L49,IF(Чорн!$R$1=9,M49,IF(Чорн!$R$1=10,N49,IF(Чорн!$R$1=11,O49,IF(Чорн!$R$1=12,P49,0))))))</f>
        <v>0</v>
      </c>
      <c r="T49" s="371"/>
      <c r="U49" s="368"/>
      <c r="V49" s="369">
        <f>IF(($R$23+$S$23)&gt;Чорн!Q31,$E$24,0)</f>
        <v>573.5</v>
      </c>
      <c r="W49" s="370">
        <v>0</v>
      </c>
      <c r="X49" s="392"/>
    </row>
    <row r="50" spans="1:24" ht="19.5" customHeight="1">
      <c r="A50" s="364"/>
      <c r="B50" s="365"/>
      <c r="C50" s="355"/>
      <c r="D50" s="35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24"/>
      <c r="R50" s="257">
        <f>IF(Чорн!$R$1=1,E50,IF(Чорн!$R$1=2,F50,IF(Чорн!$R$1=3,G50,IF(Чорн!$R$1=4,H50,IF(Чорн!$R$1=5,I50,IF(Чорн!$R$1=6,J50,0))))))</f>
        <v>0</v>
      </c>
      <c r="S50" s="258">
        <f>IF(Чорн!$R$1=7,K50,IF(Чорн!$R$1=8,L50,IF(Чорн!$R$1=9,M50,IF(Чорн!$R$1=10,N50,IF(Чорн!$R$1=11,O50,IF(Чорн!$R$1=12,P50,0))))))</f>
        <v>0</v>
      </c>
      <c r="T50" s="371"/>
      <c r="U50" s="368"/>
      <c r="V50" s="369">
        <f>IF(($R$23+$S$23)&gt;Чорн!Q32,$E$24,0)</f>
        <v>573.5</v>
      </c>
      <c r="W50" s="370">
        <v>0</v>
      </c>
      <c r="X50" s="392"/>
    </row>
    <row r="51" spans="1:24" ht="19.5" customHeight="1">
      <c r="A51" s="364"/>
      <c r="B51" s="365"/>
      <c r="C51" s="355"/>
      <c r="D51" s="35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24"/>
      <c r="R51" s="257">
        <f>IF(Чорн!$R$1=1,E51,IF(Чорн!$R$1=2,F51,IF(Чорн!$R$1=3,G51,IF(Чорн!$R$1=4,H51,IF(Чорн!$R$1=5,I51,IF(Чорн!$R$1=6,J51,0))))))</f>
        <v>0</v>
      </c>
      <c r="S51" s="258">
        <f>IF(Чорн!$R$1=7,K51,IF(Чорн!$R$1=8,L51,IF(Чорн!$R$1=9,M51,IF(Чорн!$R$1=10,N51,IF(Чорн!$R$1=11,O51,IF(Чорн!$R$1=12,P51,0))))))</f>
        <v>0</v>
      </c>
      <c r="T51" s="371"/>
      <c r="U51" s="368"/>
      <c r="V51" s="369">
        <f>IF(($R$23+$S$23)&gt;Чорн!Q33,$E$24,0)</f>
        <v>573.5</v>
      </c>
      <c r="W51" s="370">
        <v>0</v>
      </c>
      <c r="X51" s="392"/>
    </row>
    <row r="52" spans="1:24" ht="19.5" customHeight="1">
      <c r="A52" s="364"/>
      <c r="B52" s="365"/>
      <c r="C52" s="355"/>
      <c r="D52" s="35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24"/>
      <c r="R52" s="257">
        <f>IF(Чорн!$R$1=1,E52,IF(Чорн!$R$1=2,F52,IF(Чорн!$R$1=3,G52,IF(Чорн!$R$1=4,H52,IF(Чорн!$R$1=5,I52,IF(Чорн!$R$1=6,J52,0))))))</f>
        <v>0</v>
      </c>
      <c r="S52" s="258">
        <f>IF(Чорн!$R$1=7,K52,IF(Чорн!$R$1=8,L52,IF(Чорн!$R$1=9,M52,IF(Чорн!$R$1=10,N52,IF(Чорн!$R$1=11,O52,IF(Чорн!$R$1=12,P52,0))))))</f>
        <v>0</v>
      </c>
      <c r="T52" s="371"/>
      <c r="U52" s="368"/>
      <c r="V52" s="369">
        <f>IF(($R$23+$S$23)&gt;Чорн!Q34,$E$24,0)</f>
        <v>573.5</v>
      </c>
      <c r="W52" s="370">
        <v>0</v>
      </c>
      <c r="X52" s="392"/>
    </row>
    <row r="53" spans="1:24" ht="19.5" customHeight="1">
      <c r="A53" s="364"/>
      <c r="B53" s="365"/>
      <c r="C53" s="355"/>
      <c r="D53" s="35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24"/>
      <c r="R53" s="257">
        <f>IF(Чорн!$R$1=1,E53,IF(Чорн!$R$1=2,F53,IF(Чорн!$R$1=3,G53,IF(Чорн!$R$1=4,H53,IF(Чорн!$R$1=5,I53,IF(Чорн!$R$1=6,J53,0))))))</f>
        <v>0</v>
      </c>
      <c r="S53" s="258">
        <f>IF(Чорн!$R$1=7,K53,IF(Чорн!$R$1=8,L53,IF(Чорн!$R$1=9,M53,IF(Чорн!$R$1=10,N53,IF(Чорн!$R$1=11,O53,IF(Чорн!$R$1=12,P53,0))))))</f>
        <v>0</v>
      </c>
      <c r="T53" s="371"/>
      <c r="U53" s="368"/>
      <c r="V53" s="369">
        <f>IF(($R$23+$S$23)&gt;Чорн!Q35,$E$24,0)</f>
        <v>573.5</v>
      </c>
      <c r="W53" s="370">
        <v>0</v>
      </c>
      <c r="X53" s="392"/>
    </row>
    <row r="54" spans="1:24" ht="19.5" customHeight="1">
      <c r="A54" s="364"/>
      <c r="B54" s="365"/>
      <c r="C54" s="355"/>
      <c r="D54" s="35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24"/>
      <c r="R54" s="257">
        <f>IF(Чорн!$R$1=1,E54,IF(Чорн!$R$1=2,F54,IF(Чорн!$R$1=3,G54,IF(Чорн!$R$1=4,H54,IF(Чорн!$R$1=5,I54,IF(Чорн!$R$1=6,J54,0))))))</f>
        <v>0</v>
      </c>
      <c r="S54" s="258">
        <f>IF(Чорн!$R$1=7,K54,IF(Чорн!$R$1=8,L54,IF(Чорн!$R$1=9,M54,IF(Чорн!$R$1=10,N54,IF(Чорн!$R$1=11,O54,IF(Чорн!$R$1=12,P54,0))))))</f>
        <v>0</v>
      </c>
      <c r="T54" s="371"/>
      <c r="U54" s="368"/>
      <c r="V54" s="369">
        <f>IF(($R$23+$S$23)&gt;Чорн!Q36,$E$24,0)</f>
        <v>573.5</v>
      </c>
      <c r="W54" s="370">
        <v>0</v>
      </c>
      <c r="X54" s="392"/>
    </row>
    <row r="55" spans="1:24" ht="19.5" customHeight="1">
      <c r="A55" s="364"/>
      <c r="B55" s="365"/>
      <c r="C55" s="475"/>
      <c r="D55" s="47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24"/>
      <c r="R55" s="257">
        <f>IF(Чорн!$R$1=1,E55,IF(Чорн!$R$1=2,F55,IF(Чорн!$R$1=3,G55,IF(Чорн!$R$1=4,H55,IF(Чорн!$R$1=5,I55,IF(Чорн!$R$1=6,J55,0))))))</f>
        <v>0</v>
      </c>
      <c r="S55" s="258">
        <f>IF(Чорн!$R$1=7,K55,IF(Чорн!$R$1=8,L55,IF(Чорн!$R$1=9,M55,IF(Чорн!$R$1=10,N55,IF(Чорн!$R$1=11,O55,IF(Чорн!$R$1=12,P55,0))))))</f>
        <v>0</v>
      </c>
      <c r="T55" s="371"/>
      <c r="U55" s="368"/>
      <c r="V55" s="369">
        <f>IF(($R$23+$S$23)&gt;Чорн!Q37,$E$24,0)</f>
        <v>573.5</v>
      </c>
      <c r="W55" s="370">
        <v>0</v>
      </c>
      <c r="X55" s="392"/>
    </row>
    <row r="56" spans="1:4" ht="12.75">
      <c r="A56" s="228"/>
      <c r="B56" s="176"/>
      <c r="C56" s="229"/>
      <c r="D56" s="229"/>
    </row>
  </sheetData>
  <sheetProtection sheet="1" objects="1" scenarios="1" formatCells="0" selectLockedCells="1"/>
  <mergeCells count="55">
    <mergeCell ref="T19:T20"/>
    <mergeCell ref="U19:U20"/>
    <mergeCell ref="R12:S12"/>
    <mergeCell ref="T12:U12"/>
    <mergeCell ref="P4:U4"/>
    <mergeCell ref="P5:U5"/>
    <mergeCell ref="B4:C4"/>
    <mergeCell ref="B5:C5"/>
    <mergeCell ref="I4:N4"/>
    <mergeCell ref="I5:N5"/>
    <mergeCell ref="C31:D31"/>
    <mergeCell ref="E7:G7"/>
    <mergeCell ref="E8:G8"/>
    <mergeCell ref="B1:G1"/>
    <mergeCell ref="B2:G2"/>
    <mergeCell ref="B11:C11"/>
    <mergeCell ref="D11:E11"/>
    <mergeCell ref="B12:C12"/>
    <mergeCell ref="D12:E12"/>
    <mergeCell ref="E25:P25"/>
    <mergeCell ref="C29:D29"/>
    <mergeCell ref="C30:D30"/>
    <mergeCell ref="C25:D25"/>
    <mergeCell ref="C27:D27"/>
    <mergeCell ref="C26:D26"/>
    <mergeCell ref="C28:D28"/>
    <mergeCell ref="C42:D42"/>
    <mergeCell ref="C41:D41"/>
    <mergeCell ref="C32:D32"/>
    <mergeCell ref="C33:D33"/>
    <mergeCell ref="C34:D34"/>
    <mergeCell ref="C35:D35"/>
    <mergeCell ref="C36:D36"/>
    <mergeCell ref="C37:D37"/>
    <mergeCell ref="C38:D38"/>
    <mergeCell ref="A19:A20"/>
    <mergeCell ref="R19:R20"/>
    <mergeCell ref="J24:L24"/>
    <mergeCell ref="M24:N24"/>
    <mergeCell ref="C22:D22"/>
    <mergeCell ref="C23:D23"/>
    <mergeCell ref="C24:D24"/>
    <mergeCell ref="O24:P24"/>
    <mergeCell ref="E24:G24"/>
    <mergeCell ref="H24:I24"/>
    <mergeCell ref="C55:D55"/>
    <mergeCell ref="S19:S20"/>
    <mergeCell ref="B19:B20"/>
    <mergeCell ref="C21:D21"/>
    <mergeCell ref="C20:D20"/>
    <mergeCell ref="C19:D19"/>
    <mergeCell ref="C39:D39"/>
    <mergeCell ref="C40:D40"/>
    <mergeCell ref="C43:D43"/>
    <mergeCell ref="C49:D49"/>
  </mergeCells>
  <printOptions/>
  <pageMargins left="0" right="0" top="0.7874015748031497" bottom="0" header="0" footer="0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35"/>
  </sheetPr>
  <dimension ref="A1:AA44"/>
  <sheetViews>
    <sheetView zoomScale="75" zoomScaleNormal="75" zoomScalePageLayoutView="0" workbookViewId="0" topLeftCell="A13">
      <selection activeCell="K31" sqref="K31"/>
    </sheetView>
  </sheetViews>
  <sheetFormatPr defaultColWidth="9.140625" defaultRowHeight="12.75"/>
  <cols>
    <col min="1" max="1" width="5.00390625" style="0" customWidth="1"/>
    <col min="2" max="2" width="15.7109375" style="0" customWidth="1"/>
    <col min="3" max="3" width="14.7109375" style="0" customWidth="1"/>
    <col min="4" max="4" width="4.7109375" style="0" customWidth="1"/>
    <col min="5" max="8" width="7.28125" style="0" customWidth="1"/>
    <col min="9" max="10" width="5.7109375" style="0" customWidth="1"/>
    <col min="11" max="15" width="7.28125" style="0" customWidth="1"/>
    <col min="16" max="17" width="7.7109375" style="0" customWidth="1"/>
    <col min="18" max="18" width="6.7109375" style="0" customWidth="1"/>
    <col min="19" max="21" width="7.28125" style="0" customWidth="1"/>
    <col min="22" max="22" width="6.7109375" style="0" customWidth="1"/>
    <col min="23" max="26" width="7.28125" style="0" customWidth="1"/>
  </cols>
  <sheetData>
    <row r="1" spans="1:25" s="23" customFormat="1" ht="19.5" customHeight="1">
      <c r="A1" s="560" t="s">
        <v>285</v>
      </c>
      <c r="B1" s="560"/>
      <c r="C1" s="562" t="str">
        <f>Дані!B3</f>
        <v>0441*****</v>
      </c>
      <c r="D1" s="562"/>
      <c r="E1" s="562"/>
      <c r="F1" s="562"/>
      <c r="G1" s="568" t="s">
        <v>311</v>
      </c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236">
        <v>3</v>
      </c>
      <c r="S1" s="242">
        <f>IF(Чорн!C3=Дані!A4,Дані!D4,Дані!D5)</f>
        <v>0</v>
      </c>
      <c r="T1" s="27"/>
      <c r="U1" s="27"/>
      <c r="V1" s="220"/>
      <c r="W1" s="563"/>
      <c r="X1" s="563"/>
      <c r="Y1" s="564"/>
    </row>
    <row r="2" spans="1:26" s="340" customFormat="1" ht="19.5" customHeight="1">
      <c r="A2" s="560" t="s">
        <v>283</v>
      </c>
      <c r="B2" s="560"/>
      <c r="C2" s="561" t="str">
        <f>Дані!B2</f>
        <v> сільська  рада</v>
      </c>
      <c r="D2" s="561"/>
      <c r="E2" s="561"/>
      <c r="F2" s="561"/>
      <c r="G2" s="502" t="str">
        <f>IF(Чорн!C3=Дані!A4,CONCATENATE("нарахування заробітної плати  працівникам ",Дані!I4),CONCATENATE("нарахування заробітної плати  працівникам ",Дані!I5))</f>
        <v>нарахування заробітної плати  працівникам Енецької сільської ради</v>
      </c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234"/>
      <c r="W2" s="234"/>
      <c r="X2" s="234"/>
      <c r="Y2" s="234"/>
      <c r="Z2" s="234"/>
    </row>
    <row r="3" spans="1:26" s="23" customFormat="1" ht="19.5" customHeight="1">
      <c r="A3" s="502" t="s">
        <v>286</v>
      </c>
      <c r="B3" s="502"/>
      <c r="C3" s="503" t="s">
        <v>98</v>
      </c>
      <c r="D3" s="503"/>
      <c r="E3" s="503"/>
      <c r="F3" s="503"/>
      <c r="J3" s="29"/>
      <c r="K3" s="29"/>
      <c r="L3" s="30" t="s">
        <v>11</v>
      </c>
      <c r="M3" s="513" t="str">
        <f>IF($R$1&lt;7,Дані!A21,Дані!A22)</f>
        <v>березень</v>
      </c>
      <c r="N3" s="513"/>
      <c r="O3" s="513"/>
      <c r="P3" s="31">
        <f>Дані!C20</f>
        <v>2013</v>
      </c>
      <c r="Q3" s="31" t="s">
        <v>37</v>
      </c>
      <c r="R3" s="31"/>
      <c r="S3" s="32"/>
      <c r="T3" s="32"/>
      <c r="U3" s="515"/>
      <c r="V3" s="515"/>
      <c r="W3" s="515"/>
      <c r="X3" s="516"/>
      <c r="Y3" s="516"/>
      <c r="Z3" s="33"/>
    </row>
    <row r="4" spans="1:26" s="23" customFormat="1" ht="19.5" customHeight="1">
      <c r="A4" s="504" t="s">
        <v>38</v>
      </c>
      <c r="B4" s="504"/>
      <c r="C4" s="505"/>
      <c r="D4" s="235">
        <f>MAX(Таб!AI8:AI12)</f>
        <v>20</v>
      </c>
      <c r="E4" s="32"/>
      <c r="F4" s="539" t="s">
        <v>12</v>
      </c>
      <c r="G4" s="540"/>
      <c r="H4" s="540"/>
      <c r="I4" s="540"/>
      <c r="J4" s="540"/>
      <c r="K4" s="213">
        <f>IF($R$1&lt;7,Дані!R21,Дані!S21)</f>
        <v>1147</v>
      </c>
      <c r="L4" s="32"/>
      <c r="M4" s="504" t="s">
        <v>15</v>
      </c>
      <c r="N4" s="504"/>
      <c r="O4" s="504"/>
      <c r="P4" s="213">
        <f>IF($R$1&lt;7,Дані!R22,Дані!S22)</f>
        <v>1147</v>
      </c>
      <c r="Q4" s="206"/>
      <c r="R4" s="541" t="s">
        <v>250</v>
      </c>
      <c r="S4" s="542"/>
      <c r="T4" s="542"/>
      <c r="U4" s="543"/>
      <c r="V4" s="566">
        <f>IF($R$1&lt;7,Дані!R23,Дані!S23)</f>
        <v>1610</v>
      </c>
      <c r="W4" s="567"/>
      <c r="X4" s="255"/>
      <c r="Y4" s="199"/>
      <c r="Z4" s="207"/>
    </row>
    <row r="5" spans="1:27" s="220" customFormat="1" ht="19.5" customHeight="1">
      <c r="A5" s="527" t="s">
        <v>9</v>
      </c>
      <c r="B5" s="506" t="s">
        <v>18</v>
      </c>
      <c r="C5" s="506" t="s">
        <v>166</v>
      </c>
      <c r="D5" s="531" t="s">
        <v>14</v>
      </c>
      <c r="E5" s="514" t="s">
        <v>3</v>
      </c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0" t="s">
        <v>2</v>
      </c>
      <c r="R5" s="565" t="s">
        <v>5</v>
      </c>
      <c r="S5" s="565"/>
      <c r="T5" s="565"/>
      <c r="U5" s="565"/>
      <c r="V5" s="565"/>
      <c r="W5" s="565"/>
      <c r="X5" s="565"/>
      <c r="Y5" s="565"/>
      <c r="Z5" s="510" t="s">
        <v>307</v>
      </c>
      <c r="AA5" s="341"/>
    </row>
    <row r="6" spans="1:27" s="220" customFormat="1" ht="21" customHeight="1">
      <c r="A6" s="528"/>
      <c r="B6" s="507"/>
      <c r="C6" s="507"/>
      <c r="D6" s="532"/>
      <c r="E6" s="509" t="s">
        <v>351</v>
      </c>
      <c r="F6" s="509" t="s">
        <v>306</v>
      </c>
      <c r="G6" s="509" t="s">
        <v>305</v>
      </c>
      <c r="H6" s="518"/>
      <c r="I6" s="549" t="s">
        <v>292</v>
      </c>
      <c r="J6" s="550"/>
      <c r="K6" s="509" t="s">
        <v>1</v>
      </c>
      <c r="L6" s="518" t="s">
        <v>303</v>
      </c>
      <c r="M6" s="551" t="s">
        <v>302</v>
      </c>
      <c r="N6" s="518" t="s">
        <v>304</v>
      </c>
      <c r="O6" s="518" t="s">
        <v>278</v>
      </c>
      <c r="P6" s="518"/>
      <c r="Q6" s="511"/>
      <c r="R6" s="517" t="s">
        <v>276</v>
      </c>
      <c r="S6" s="517" t="s">
        <v>7</v>
      </c>
      <c r="T6" s="517" t="s">
        <v>299</v>
      </c>
      <c r="U6" s="517" t="s">
        <v>300</v>
      </c>
      <c r="V6" s="517" t="s">
        <v>301</v>
      </c>
      <c r="W6" s="517" t="s">
        <v>4</v>
      </c>
      <c r="X6" s="520"/>
      <c r="Y6" s="552" t="s">
        <v>8</v>
      </c>
      <c r="Z6" s="511"/>
      <c r="AA6" s="341"/>
    </row>
    <row r="7" spans="1:26" s="23" customFormat="1" ht="45.75" customHeight="1">
      <c r="A7" s="529"/>
      <c r="B7" s="508"/>
      <c r="C7" s="508"/>
      <c r="D7" s="533"/>
      <c r="E7" s="509"/>
      <c r="F7" s="509"/>
      <c r="G7" s="509"/>
      <c r="H7" s="519"/>
      <c r="I7" s="34" t="s">
        <v>293</v>
      </c>
      <c r="J7" s="346" t="s">
        <v>294</v>
      </c>
      <c r="K7" s="509"/>
      <c r="L7" s="519"/>
      <c r="M7" s="551"/>
      <c r="N7" s="519"/>
      <c r="O7" s="519"/>
      <c r="P7" s="519"/>
      <c r="Q7" s="512"/>
      <c r="R7" s="517"/>
      <c r="S7" s="517"/>
      <c r="T7" s="517"/>
      <c r="U7" s="517"/>
      <c r="V7" s="517"/>
      <c r="W7" s="517"/>
      <c r="X7" s="520"/>
      <c r="Y7" s="552"/>
      <c r="Z7" s="512"/>
    </row>
    <row r="8" spans="1:26" s="23" customFormat="1" ht="19.5" customHeight="1">
      <c r="A8" s="35">
        <v>1</v>
      </c>
      <c r="B8" s="279">
        <f>Дані!A26</f>
        <v>0</v>
      </c>
      <c r="C8" s="279">
        <f>Дані!C26</f>
        <v>0</v>
      </c>
      <c r="D8" s="36">
        <f>Таб!AI8</f>
        <v>20</v>
      </c>
      <c r="E8" s="189">
        <f>ROUND(IF(D8&lt;0,,(Дані!R26+Дані!S26)/$D$4*D8),2)+Корег!E8</f>
        <v>2328</v>
      </c>
      <c r="F8" s="189">
        <f>ROUND(IF(D8=0,0,Дані!T26/$D$4*D8),2)+Корег!F8</f>
        <v>90</v>
      </c>
      <c r="G8" s="189">
        <f>ROUND((E8+F8)*Дані!U26,2)+Корег!G8</f>
        <v>0</v>
      </c>
      <c r="H8" s="331"/>
      <c r="I8" s="331"/>
      <c r="J8" s="331"/>
      <c r="K8" s="398"/>
      <c r="L8" s="181">
        <f>IF($R$1&lt;7,індек!T5,індек!T8)+Корег!L8</f>
        <v>68</v>
      </c>
      <c r="M8" s="331"/>
      <c r="N8" s="331"/>
      <c r="O8" s="331"/>
      <c r="P8" s="331"/>
      <c r="Q8" s="188">
        <f aca="true" t="shared" si="0" ref="Q8:Q15">SUM(E8:P8)</f>
        <v>2486</v>
      </c>
      <c r="R8" s="331"/>
      <c r="S8" s="189">
        <f>ROUND(IF((Q8-SUM(T8:V8,Дані!V26))*0.15&lt;0,0,(Q8-SUM(T8:V8,Дані!V26))*0.15),2)+Корег!S8</f>
        <v>350.15</v>
      </c>
      <c r="T8" s="181">
        <f>IF(Дані!$W26&gt;0,ROUND(($Q8-I8-J8)*6.1%,2),)+Корег!T8</f>
        <v>151.65</v>
      </c>
      <c r="U8" s="181">
        <f>IF(Дані!$W26&lt;=0,ROUND(($Q8-I8-J8)*3.6%,2),)+Корег!U8</f>
        <v>0</v>
      </c>
      <c r="V8" s="181">
        <f>ROUND((I8+J8)*2%,2)+Корег!V8</f>
        <v>0</v>
      </c>
      <c r="W8" s="181">
        <f>ROUND(Q8*1%,2)+Корег!W8</f>
        <v>24.86</v>
      </c>
      <c r="X8" s="331"/>
      <c r="Y8" s="181">
        <f aca="true" t="shared" si="1" ref="Y8:Y15">SUM(R8:W8)</f>
        <v>526.66</v>
      </c>
      <c r="Z8" s="188">
        <f aca="true" t="shared" si="2" ref="Z8:Z15">Q8-Y8</f>
        <v>1959.3400000000001</v>
      </c>
    </row>
    <row r="9" spans="1:26" s="23" customFormat="1" ht="19.5" customHeight="1">
      <c r="A9" s="35">
        <v>2</v>
      </c>
      <c r="B9" s="279">
        <f>Дані!A27</f>
        <v>0</v>
      </c>
      <c r="C9" s="279">
        <f>Дані!C27</f>
        <v>0</v>
      </c>
      <c r="D9" s="36">
        <f>Таб!AI9</f>
        <v>0</v>
      </c>
      <c r="E9" s="189">
        <f>ROUND(IF(D9&lt;0,0,(Дані!R27+Дані!S27)/$D$4*D9),2)+Корег!E9</f>
        <v>0</v>
      </c>
      <c r="F9" s="189">
        <f>ROUND(IF(D9=0,0,Дані!T27/$D$4*D9),2)+Корег!F9</f>
        <v>0</v>
      </c>
      <c r="G9" s="189">
        <f>ROUND((E9+F9)*Дані!U27,2)+Корег!G9</f>
        <v>0</v>
      </c>
      <c r="H9" s="331"/>
      <c r="I9" s="331"/>
      <c r="J9" s="331"/>
      <c r="K9" s="398"/>
      <c r="L9" s="181">
        <f>IF($R$1&lt;7,індек!T14,індек!T17)+Корег!L9</f>
        <v>119.71</v>
      </c>
      <c r="M9" s="331"/>
      <c r="N9" s="331"/>
      <c r="O9" s="331"/>
      <c r="P9" s="331"/>
      <c r="Q9" s="188">
        <f t="shared" si="0"/>
        <v>119.71</v>
      </c>
      <c r="R9" s="331"/>
      <c r="S9" s="189">
        <f>ROUND(IF((Q9-SUM(T9:V9,Дані!V27))*0.15&lt;0,0,(Q9-SUM(T9:V9,Дані!V27))*0.15),2)+Корег!S9</f>
        <v>0</v>
      </c>
      <c r="T9" s="181">
        <f>IF(Дані!$W27&gt;0,ROUND(($Q9-I9-J9)*6.1%,2),)+Корег!T9</f>
        <v>7.3</v>
      </c>
      <c r="U9" s="181">
        <f>IF(Дані!$W27&lt;=0,ROUND(($Q9-I9-J9)*3.6%,2),)+Корег!U9</f>
        <v>0</v>
      </c>
      <c r="V9" s="181">
        <f>ROUND((I9+J9)*2%,2)+Корег!V9</f>
        <v>0</v>
      </c>
      <c r="W9" s="181">
        <f>ROUND(Q9*1%,2)+Корег!W9</f>
        <v>1.2</v>
      </c>
      <c r="X9" s="331"/>
      <c r="Y9" s="181">
        <f t="shared" si="1"/>
        <v>8.5</v>
      </c>
      <c r="Z9" s="188">
        <f t="shared" si="2"/>
        <v>111.21</v>
      </c>
    </row>
    <row r="10" spans="1:26" s="23" customFormat="1" ht="19.5" customHeight="1">
      <c r="A10" s="35">
        <v>3</v>
      </c>
      <c r="B10" s="279">
        <f>Дані!A28</f>
        <v>0</v>
      </c>
      <c r="C10" s="279">
        <f>Дані!C28</f>
        <v>0</v>
      </c>
      <c r="D10" s="225">
        <f>Таб!AI10</f>
        <v>0</v>
      </c>
      <c r="E10" s="189">
        <f>ROUND(IF(D10&lt;0,0,(Дані!R28+Дані!S28)/$D$4*D10),2)+Корег!E10</f>
        <v>0</v>
      </c>
      <c r="F10" s="189">
        <f>ROUND(IF(D10=0,0,Дані!T28/$D$4*D10),2)+Корег!F10</f>
        <v>0</v>
      </c>
      <c r="G10" s="189">
        <f>ROUND((E10+F10)*Дані!U28,2)+Корег!G10</f>
        <v>0</v>
      </c>
      <c r="H10" s="331"/>
      <c r="I10" s="331"/>
      <c r="J10" s="331"/>
      <c r="K10" s="398"/>
      <c r="L10" s="181">
        <f>IF($R$1&lt;7,індек!T24,індек!T27)+Корег!L10</f>
        <v>575.79</v>
      </c>
      <c r="M10" s="331"/>
      <c r="N10" s="331"/>
      <c r="O10" s="331">
        <v>650</v>
      </c>
      <c r="P10" s="331"/>
      <c r="Q10" s="188">
        <f t="shared" si="0"/>
        <v>1225.79</v>
      </c>
      <c r="R10" s="331"/>
      <c r="S10" s="189">
        <f>ROUND(IF((Q10-SUM(T10:V10,Дані!V28))*0.15&lt;0,0,(Q10-SUM(T10:V10,Дані!V28))*0.15),2)+Корег!S10</f>
        <v>0</v>
      </c>
      <c r="T10" s="181">
        <f>IF(Дані!$W28&gt;0,ROUND(($Q10-I10-J10)*6.1%,2),)+Корег!T10</f>
        <v>74.77</v>
      </c>
      <c r="U10" s="181">
        <f>IF(Дані!$W28&lt;=0,ROUND(($Q10-I10-J10)*3.6%,2),)+Корег!U10</f>
        <v>0</v>
      </c>
      <c r="V10" s="181">
        <f>ROUND((I10+J10)*2%,2)+Корег!V10</f>
        <v>0</v>
      </c>
      <c r="W10" s="181">
        <f>ROUND(Q10*1%,2)+Корег!W10</f>
        <v>12.26</v>
      </c>
      <c r="X10" s="331"/>
      <c r="Y10" s="181">
        <f t="shared" si="1"/>
        <v>87.03</v>
      </c>
      <c r="Z10" s="188">
        <f t="shared" si="2"/>
        <v>1138.76</v>
      </c>
    </row>
    <row r="11" spans="1:27" s="23" customFormat="1" ht="19.5" customHeight="1">
      <c r="A11" s="35">
        <v>4</v>
      </c>
      <c r="B11" s="279">
        <f>Дані!A29</f>
        <v>0</v>
      </c>
      <c r="C11" s="279">
        <f>Дані!C29</f>
        <v>0</v>
      </c>
      <c r="D11" s="225">
        <f>Таб!AI11</f>
        <v>0</v>
      </c>
      <c r="E11" s="189">
        <f>ROUND(IF(D11&lt;0,0,(Дані!R29+Дані!S29)/$D$4*D11),2)+Корег!E11</f>
        <v>0</v>
      </c>
      <c r="F11" s="189">
        <f>ROUND(IF(D11=0,0,Дані!T29/$D$4*D11),2)+Корег!F11</f>
        <v>0</v>
      </c>
      <c r="G11" s="189">
        <f>ROUND((E11+F11)*Дані!U29,2)+Корег!G11</f>
        <v>0</v>
      </c>
      <c r="H11" s="331"/>
      <c r="I11" s="331"/>
      <c r="J11" s="331"/>
      <c r="K11" s="398"/>
      <c r="L11" s="181">
        <f>IF($R$1&lt;7,індек!T33,індек!T36)+Корег!L11</f>
        <v>0</v>
      </c>
      <c r="M11" s="331"/>
      <c r="N11" s="331"/>
      <c r="O11" s="331"/>
      <c r="P11" s="331"/>
      <c r="Q11" s="188">
        <f t="shared" si="0"/>
        <v>0</v>
      </c>
      <c r="R11" s="331"/>
      <c r="S11" s="189">
        <f>ROUND(IF((Q11-SUM(T11:V11,Дані!V29))*0.15&lt;0,0,(Q11-SUM(T11:V11,Дані!V29))*0.15),2)+Корег!S11</f>
        <v>0</v>
      </c>
      <c r="T11" s="181">
        <f>IF(Дані!$W29&gt;0,ROUND(($Q11-I11-J11)*6.1%,2),)+Корег!T11</f>
        <v>0</v>
      </c>
      <c r="U11" s="181">
        <f>IF(Дані!$W29&lt;=0,ROUND(($Q11-I11-J11)*3.6%,2),)+Корег!U11</f>
        <v>0</v>
      </c>
      <c r="V11" s="181">
        <f>ROUND((I11+J11)*2%,2)+Корег!V11</f>
        <v>0</v>
      </c>
      <c r="W11" s="181">
        <f>ROUND(Q11*1%,2)+Корег!W11</f>
        <v>0</v>
      </c>
      <c r="X11" s="331"/>
      <c r="Y11" s="181">
        <f t="shared" si="1"/>
        <v>0</v>
      </c>
      <c r="Z11" s="188">
        <f t="shared" si="2"/>
        <v>0</v>
      </c>
      <c r="AA11" s="342"/>
    </row>
    <row r="12" spans="1:27" s="23" customFormat="1" ht="19.5" customHeight="1">
      <c r="A12" s="35">
        <v>5</v>
      </c>
      <c r="B12" s="279">
        <f>Дані!A30</f>
        <v>0</v>
      </c>
      <c r="C12" s="279">
        <f>Дані!C30</f>
        <v>0</v>
      </c>
      <c r="D12" s="225">
        <f>Таб!AI12</f>
        <v>0</v>
      </c>
      <c r="E12" s="189">
        <f>ROUND(IF(D12&lt;0,0,(Дані!R30+Дані!S30)/$D$4*D12),2)+Корег!E12</f>
        <v>0</v>
      </c>
      <c r="F12" s="189">
        <f>ROUND(IF(D12=0,0,Дані!T30/$D$4*D12),2)+Корег!F12</f>
        <v>0</v>
      </c>
      <c r="G12" s="189">
        <f>ROUND((E12+F12)*Дані!U30,2)+Корег!G12</f>
        <v>0</v>
      </c>
      <c r="H12" s="331"/>
      <c r="I12" s="331"/>
      <c r="J12" s="331"/>
      <c r="K12" s="398"/>
      <c r="L12" s="181">
        <f>IF($R$1&lt;7,індек!T44,індек!T47)+Корег!L12</f>
        <v>0</v>
      </c>
      <c r="M12" s="331"/>
      <c r="N12" s="331"/>
      <c r="O12" s="331"/>
      <c r="P12" s="331"/>
      <c r="Q12" s="188">
        <f t="shared" si="0"/>
        <v>0</v>
      </c>
      <c r="R12" s="331"/>
      <c r="S12" s="189">
        <f>ROUND(IF((Q12-SUM(T12:V12,Дані!V30))*0.15&lt;0,0,(Q12-SUM(T12:V12,Дані!V30))*0.15),2)+Корег!S12</f>
        <v>0</v>
      </c>
      <c r="T12" s="181">
        <f>IF(Дані!$W30&gt;0,ROUND(($Q12-I12-J12)*6.1%,2),)+Корег!T12</f>
        <v>0</v>
      </c>
      <c r="U12" s="181">
        <f>IF(Дані!$W30&lt;=0,ROUND(($Q12-I12-J12)*3.6%,2),)+Корег!U12</f>
        <v>0</v>
      </c>
      <c r="V12" s="181">
        <f>ROUND((I12+J12)*2%,2)+Корег!V12</f>
        <v>0</v>
      </c>
      <c r="W12" s="181">
        <f>ROUND(Q12*1%,2)+Корег!W12</f>
        <v>0</v>
      </c>
      <c r="X12" s="331"/>
      <c r="Y12" s="181">
        <f t="shared" si="1"/>
        <v>0</v>
      </c>
      <c r="Z12" s="188">
        <f t="shared" si="2"/>
        <v>0</v>
      </c>
      <c r="AA12" s="342"/>
    </row>
    <row r="13" spans="1:27" s="23" customFormat="1" ht="19.5" customHeight="1">
      <c r="A13" s="35">
        <v>6</v>
      </c>
      <c r="B13" s="279">
        <f>Дані!A31</f>
        <v>0</v>
      </c>
      <c r="C13" s="279">
        <f>Дані!C31</f>
        <v>0</v>
      </c>
      <c r="D13" s="225">
        <f>Таб!AI13</f>
        <v>0</v>
      </c>
      <c r="E13" s="189">
        <f>ROUND(IF(D13&lt;0,0,(Дані!R31+Дані!S31)/$D$4*D13),2)+Корег!E13</f>
        <v>0</v>
      </c>
      <c r="F13" s="189">
        <f>ROUND(IF(D13=0,0,Дані!T31/$D$4*D13),2)+Корег!F13</f>
        <v>0</v>
      </c>
      <c r="G13" s="189">
        <f>ROUND((E13+F13)*Дані!U31,2)+Корег!G13</f>
        <v>0</v>
      </c>
      <c r="H13" s="331"/>
      <c r="I13" s="331"/>
      <c r="J13" s="331"/>
      <c r="K13" s="398"/>
      <c r="L13" s="181">
        <f>IF($R$1&lt;7,індек!T53,індек!T56)+Корег!L13</f>
        <v>0</v>
      </c>
      <c r="M13" s="331"/>
      <c r="N13" s="331"/>
      <c r="O13" s="331"/>
      <c r="P13" s="331"/>
      <c r="Q13" s="188">
        <f t="shared" si="0"/>
        <v>0</v>
      </c>
      <c r="R13" s="331"/>
      <c r="S13" s="189">
        <f>ROUND(IF((Q13-SUM(T13:V13,Дані!V31))*0.15&lt;0,0,(Q13-SUM(T13:V13,Дані!V31))*0.15),2)+Корег!S13</f>
        <v>0</v>
      </c>
      <c r="T13" s="181">
        <f>IF(Дані!$W31&gt;0,ROUND(($Q13-I13-J13)*6.1%,2),)+Корег!T13</f>
        <v>0</v>
      </c>
      <c r="U13" s="181">
        <f>IF(Дані!$W31&lt;=0,ROUND(($Q13-I13-J13)*3.6%,2),)+Корег!U13</f>
        <v>0</v>
      </c>
      <c r="V13" s="181">
        <f>ROUND((I13+J13)*2%,2)+Корег!V13</f>
        <v>0</v>
      </c>
      <c r="W13" s="181">
        <f>ROUND(Q13*1%,2)+Корег!W13</f>
        <v>0</v>
      </c>
      <c r="X13" s="331"/>
      <c r="Y13" s="181">
        <f t="shared" si="1"/>
        <v>0</v>
      </c>
      <c r="Z13" s="188">
        <f t="shared" si="2"/>
        <v>0</v>
      </c>
      <c r="AA13" s="342"/>
    </row>
    <row r="14" spans="1:27" s="23" customFormat="1" ht="19.5" customHeight="1">
      <c r="A14" s="35">
        <v>7</v>
      </c>
      <c r="B14" s="279">
        <f>Дані!A32</f>
        <v>0</v>
      </c>
      <c r="C14" s="279">
        <f>Дані!C32</f>
        <v>0</v>
      </c>
      <c r="D14" s="225">
        <f>Таб!AI14</f>
        <v>0</v>
      </c>
      <c r="E14" s="189">
        <f>ROUND(IF(D14&lt;0,0,(Дані!R32+Дані!S32)/$D$4*D14),2)+Корег!E14</f>
        <v>0</v>
      </c>
      <c r="F14" s="189">
        <f>ROUND(IF(D14=0,0,Дані!T32/$D$4*D14),2)+Корег!F14</f>
        <v>0</v>
      </c>
      <c r="G14" s="189">
        <f>ROUND((E14+F14)*Дані!U32,2)+Корег!G14</f>
        <v>0</v>
      </c>
      <c r="H14" s="331"/>
      <c r="I14" s="331"/>
      <c r="J14" s="331"/>
      <c r="K14" s="398"/>
      <c r="L14" s="181">
        <f>IF($R$1&lt;7,індек!T64,індек!T67)+Корег!L14</f>
        <v>0</v>
      </c>
      <c r="M14" s="331"/>
      <c r="N14" s="331"/>
      <c r="O14" s="331"/>
      <c r="P14" s="331"/>
      <c r="Q14" s="188">
        <f t="shared" si="0"/>
        <v>0</v>
      </c>
      <c r="R14" s="331"/>
      <c r="S14" s="189">
        <f>ROUND(IF((Q14-SUM(T14:V14,Дані!V32))*0.15&lt;0,0,(Q14-SUM(T14:V14,Дані!V32))*0.15),2)+Корег!S14</f>
        <v>0</v>
      </c>
      <c r="T14" s="181">
        <f>IF(Дані!$W32&gt;0,ROUND(($Q14-I14-J14)*6.1%,2),)+Корег!T14</f>
        <v>0</v>
      </c>
      <c r="U14" s="181">
        <f>IF(Дані!$W32&lt;=0,ROUND(($Q14-I14-J14)*3.6%,2),)+Корег!U14</f>
        <v>0</v>
      </c>
      <c r="V14" s="181">
        <f>ROUND((I14+J14)*2%,2)+Корег!V14</f>
        <v>0</v>
      </c>
      <c r="W14" s="181">
        <f>ROUND(Q14*1%,2)+Корег!W14</f>
        <v>0</v>
      </c>
      <c r="X14" s="331"/>
      <c r="Y14" s="181">
        <f t="shared" si="1"/>
        <v>0</v>
      </c>
      <c r="Z14" s="188">
        <f t="shared" si="2"/>
        <v>0</v>
      </c>
      <c r="AA14" s="342"/>
    </row>
    <row r="15" spans="1:27" s="23" customFormat="1" ht="19.5" customHeight="1">
      <c r="A15" s="35">
        <v>8</v>
      </c>
      <c r="B15" s="279">
        <f>Дані!A33</f>
        <v>0</v>
      </c>
      <c r="C15" s="279">
        <f>Дані!C33</f>
        <v>0</v>
      </c>
      <c r="D15" s="225">
        <f>Таб!AI15</f>
        <v>0</v>
      </c>
      <c r="E15" s="189">
        <f>ROUND(IF(D15&lt;0,0,(Дані!R33+Дані!S33)/$D$4*D15),2)+Корег!E15</f>
        <v>0</v>
      </c>
      <c r="F15" s="189">
        <f>ROUND(IF(D15=0,0,Дані!T33/$D$4*D15),2)+Корег!F15</f>
        <v>0</v>
      </c>
      <c r="G15" s="189">
        <f>ROUND((E15+F15)*Дані!U33,2)+Корег!G15</f>
        <v>0</v>
      </c>
      <c r="H15" s="331"/>
      <c r="I15" s="331"/>
      <c r="J15" s="331"/>
      <c r="K15" s="398"/>
      <c r="L15" s="181">
        <f>IF($R$1&lt;7,індек!T84,індек!T87)+Корег!L15</f>
        <v>0</v>
      </c>
      <c r="M15" s="331"/>
      <c r="N15" s="331"/>
      <c r="O15" s="331"/>
      <c r="P15" s="331"/>
      <c r="Q15" s="188">
        <f t="shared" si="0"/>
        <v>0</v>
      </c>
      <c r="R15" s="331"/>
      <c r="S15" s="189">
        <f>ROUND(IF((Q15-SUM(T15:V15,Дані!V33))*0.15&lt;0,0,(Q15-SUM(T15:V15,Дані!V33))*0.15),2)+Корег!S15</f>
        <v>0</v>
      </c>
      <c r="T15" s="181">
        <f>IF(Дані!$W33&gt;0,ROUND(($Q15-I15-J15)*6.1%,2),)+Корег!T15</f>
        <v>0</v>
      </c>
      <c r="U15" s="181">
        <f>IF(Дані!$W33&lt;=0,ROUND(($Q15-I15-J15)*3.6%,2),)+Корег!U15</f>
        <v>0</v>
      </c>
      <c r="V15" s="181">
        <f>ROUND((I15+J15)*2%,2)+Корег!V15</f>
        <v>0</v>
      </c>
      <c r="W15" s="181">
        <f>ROUND(Q15*1%,2)+Корег!W15</f>
        <v>0</v>
      </c>
      <c r="X15" s="331"/>
      <c r="Y15" s="181">
        <f t="shared" si="1"/>
        <v>0</v>
      </c>
      <c r="Z15" s="188">
        <f t="shared" si="2"/>
        <v>0</v>
      </c>
      <c r="AA15" s="342"/>
    </row>
    <row r="16" spans="1:27" s="23" customFormat="1" ht="19.5" customHeight="1">
      <c r="A16" s="35">
        <v>9</v>
      </c>
      <c r="B16" s="279">
        <f>Дані!A34</f>
        <v>0</v>
      </c>
      <c r="C16" s="279">
        <f>Дані!C34</f>
        <v>0</v>
      </c>
      <c r="D16" s="225">
        <f>Таб!AI16</f>
        <v>0</v>
      </c>
      <c r="E16" s="189">
        <f>ROUND(IF(D16&lt;0,0,(Дані!R34+Дані!S34)/$D$4*D16),2)+Корег!E16</f>
        <v>0</v>
      </c>
      <c r="F16" s="189">
        <f>ROUND(IF(D16=0,0,Дані!T34/$D$4*D16),2)+Корег!F16</f>
        <v>0</v>
      </c>
      <c r="G16" s="189">
        <f>ROUND((E16+F16)*Дані!U34,2)+Корег!G16</f>
        <v>0</v>
      </c>
      <c r="H16" s="331"/>
      <c r="I16" s="331"/>
      <c r="J16" s="331"/>
      <c r="K16" s="398"/>
      <c r="L16" s="181">
        <f>IF($R$1&lt;7,індек!T93,індек!T97)+Корег!L16</f>
        <v>0</v>
      </c>
      <c r="M16" s="331"/>
      <c r="N16" s="331"/>
      <c r="O16" s="331"/>
      <c r="P16" s="331"/>
      <c r="Q16" s="188">
        <f aca="true" t="shared" si="3" ref="Q16:Q22">SUM(E16:P16)</f>
        <v>0</v>
      </c>
      <c r="R16" s="331"/>
      <c r="S16" s="189">
        <f>ROUND(IF((Q16-SUM(T16:V16,Дані!V34))*0.15&lt;0,0,(Q16-SUM(T16:V16,Дані!V34))*0.15),2)+Корег!S16</f>
        <v>0</v>
      </c>
      <c r="T16" s="181">
        <f>IF(Дані!$W34&gt;0,ROUND(($Q16-I16-J16)*6.1%,2),)+Корег!T16</f>
        <v>0</v>
      </c>
      <c r="U16" s="181">
        <f>IF(Дані!$W34&lt;=0,ROUND(($Q16-I16-J16)*3.6%,2),)+Корег!U16</f>
        <v>0</v>
      </c>
      <c r="V16" s="181">
        <f>ROUND((I16+J16)*2%,2)+Корег!V16</f>
        <v>0</v>
      </c>
      <c r="W16" s="181">
        <f>ROUND(Q16*1%,2)+Корег!W16</f>
        <v>0</v>
      </c>
      <c r="X16" s="331"/>
      <c r="Y16" s="181">
        <f aca="true" t="shared" si="4" ref="Y16:Y22">SUM(R16:W16)</f>
        <v>0</v>
      </c>
      <c r="Z16" s="188">
        <f aca="true" t="shared" si="5" ref="Z16:Z22">Q16-Y16</f>
        <v>0</v>
      </c>
      <c r="AA16" s="342"/>
    </row>
    <row r="17" spans="1:27" s="23" customFormat="1" ht="19.5" customHeight="1">
      <c r="A17" s="35">
        <v>10</v>
      </c>
      <c r="B17" s="279">
        <f>Дані!A35</f>
        <v>0</v>
      </c>
      <c r="C17" s="279">
        <f>Дані!C35</f>
        <v>0</v>
      </c>
      <c r="D17" s="225">
        <f>Таб!AI17</f>
        <v>0</v>
      </c>
      <c r="E17" s="189">
        <f>ROUND(IF(D17&lt;0,0,(Дані!R35+Дані!S35)/$D$4*D17),2)+Корег!E22</f>
        <v>0</v>
      </c>
      <c r="F17" s="189">
        <f>ROUND(IF(D17=0,0,Дані!T35/$D$4*D17),2)+Корег!F22</f>
        <v>0</v>
      </c>
      <c r="G17" s="189">
        <f>ROUND((E17+F17)*Дані!U35,2)+Корег!G22</f>
        <v>0</v>
      </c>
      <c r="H17" s="331"/>
      <c r="I17" s="331"/>
      <c r="J17" s="331"/>
      <c r="K17" s="398"/>
      <c r="L17" s="181">
        <f>IF($R$1&lt;7,індек!T104,індек!T107)+Корег!L17</f>
        <v>0</v>
      </c>
      <c r="M17" s="331"/>
      <c r="N17" s="331"/>
      <c r="O17" s="331"/>
      <c r="P17" s="331"/>
      <c r="Q17" s="188">
        <f t="shared" si="3"/>
        <v>0</v>
      </c>
      <c r="R17" s="331"/>
      <c r="S17" s="189">
        <f>ROUND(IF((Q17-SUM(T17:V17,Дані!V35))*0.15&lt;0,0,(Q17-SUM(T17:V17,Дані!V35))*0.15),2)+Корег!S22</f>
        <v>0</v>
      </c>
      <c r="T17" s="181">
        <f>IF(Дані!$W35&gt;0,ROUND(($Q17-I17-J17)*6.1%,2),)+Корег!T22</f>
        <v>0</v>
      </c>
      <c r="U17" s="181">
        <f>IF(Дані!$W35&lt;=0,ROUND(($Q17-I17-J17)*3.6%,2),)+Корег!U22</f>
        <v>0</v>
      </c>
      <c r="V17" s="181">
        <f>ROUND((I17+J17)*2%,2)+Корег!V22</f>
        <v>0</v>
      </c>
      <c r="W17" s="181">
        <f>ROUND(Q17*1%,2)+Корег!W22</f>
        <v>0</v>
      </c>
      <c r="X17" s="331"/>
      <c r="Y17" s="181">
        <f t="shared" si="4"/>
        <v>0</v>
      </c>
      <c r="Z17" s="188">
        <f t="shared" si="5"/>
        <v>0</v>
      </c>
      <c r="AA17" s="342"/>
    </row>
    <row r="18" spans="1:27" s="23" customFormat="1" ht="19.5" customHeight="1">
      <c r="A18" s="35">
        <v>11</v>
      </c>
      <c r="B18" s="279">
        <f>Дані!A36</f>
        <v>0</v>
      </c>
      <c r="C18" s="279">
        <f>Дані!C36</f>
        <v>0</v>
      </c>
      <c r="D18" s="225">
        <f>Таб!AI18</f>
        <v>0</v>
      </c>
      <c r="E18" s="189">
        <f>ROUND(IF(D18&lt;0,0,(Дані!R36+Дані!S36)/$D$4*D18),2)+Корег!E23</f>
        <v>0</v>
      </c>
      <c r="F18" s="189">
        <f>ROUND(IF(D18=0,0,Дані!T36/$D$4*D18),2)+Корег!F23</f>
        <v>0</v>
      </c>
      <c r="G18" s="189">
        <f>ROUND((E18+F18)*Дані!U36,2)+Корег!G23</f>
        <v>0</v>
      </c>
      <c r="H18" s="331"/>
      <c r="I18" s="331"/>
      <c r="J18" s="331"/>
      <c r="K18" s="398"/>
      <c r="L18" s="181">
        <f>IF($R$1&lt;7,індек!T113,індек!T116)+Корег!L18</f>
        <v>0</v>
      </c>
      <c r="M18" s="331"/>
      <c r="N18" s="331"/>
      <c r="O18" s="331"/>
      <c r="P18" s="331"/>
      <c r="Q18" s="188">
        <f t="shared" si="3"/>
        <v>0</v>
      </c>
      <c r="R18" s="331"/>
      <c r="S18" s="189">
        <f>ROUND(IF((Q18-SUM(T18:V18,Дані!V36))*0.15&lt;0,0,(Q18-SUM(T18:V18,Дані!V36))*0.15),2)+Корег!S23</f>
        <v>0</v>
      </c>
      <c r="T18" s="181">
        <f>IF(Дані!$W36&gt;0,ROUND(($Q18-I18-J18)*6.1%,2),)+Корег!T23</f>
        <v>0</v>
      </c>
      <c r="U18" s="181">
        <f>IF(Дані!$W36&lt;=0,ROUND(($Q18-I18-J18)*3.6%,2),)+Корег!U23</f>
        <v>0</v>
      </c>
      <c r="V18" s="181">
        <f>ROUND((I18+J18)*2%,2)+Корег!V23</f>
        <v>0</v>
      </c>
      <c r="W18" s="181">
        <f>ROUND(Q18*1%,2)+Корег!W23</f>
        <v>0</v>
      </c>
      <c r="X18" s="331"/>
      <c r="Y18" s="181">
        <f t="shared" si="4"/>
        <v>0</v>
      </c>
      <c r="Z18" s="188">
        <f t="shared" si="5"/>
        <v>0</v>
      </c>
      <c r="AA18" s="342"/>
    </row>
    <row r="19" spans="1:27" s="23" customFormat="1" ht="19.5" customHeight="1">
      <c r="A19" s="35">
        <v>12</v>
      </c>
      <c r="B19" s="279">
        <f>Дані!A37</f>
        <v>0</v>
      </c>
      <c r="C19" s="279">
        <f>Дані!C37</f>
        <v>0</v>
      </c>
      <c r="D19" s="225">
        <f>Таб!AI19</f>
        <v>0</v>
      </c>
      <c r="E19" s="189">
        <f>ROUND(IF(D19&lt;0,0,(Дані!R37+Дані!S37)/$D$4*D19),2)+Корег!E24</f>
        <v>0</v>
      </c>
      <c r="F19" s="189">
        <f>ROUND(IF(D19=0,0,Дані!T37/$D$4*D19),2)+Корег!F24</f>
        <v>0</v>
      </c>
      <c r="G19" s="189">
        <f>ROUND((E19+F19)*Дані!U37,2)+Корег!G24</f>
        <v>0</v>
      </c>
      <c r="H19" s="331"/>
      <c r="I19" s="331"/>
      <c r="J19" s="331"/>
      <c r="K19" s="398"/>
      <c r="L19" s="181">
        <f>IF($R$1&lt;7,індек!T124,індек!T127)+Корег!L19</f>
        <v>0</v>
      </c>
      <c r="M19" s="331"/>
      <c r="N19" s="331"/>
      <c r="O19" s="331"/>
      <c r="P19" s="331"/>
      <c r="Q19" s="188">
        <f t="shared" si="3"/>
        <v>0</v>
      </c>
      <c r="R19" s="331"/>
      <c r="S19" s="189">
        <f>ROUND(IF((Q19-SUM(T19:V19,Дані!V37))*0.15&lt;0,0,(Q19-SUM(T19:V19,Дані!V37))*0.15),2)+Корег!S24</f>
        <v>0</v>
      </c>
      <c r="T19" s="181">
        <f>IF(Дані!$W37&gt;0,ROUND(($Q19-I19-J19)*6.1%,2),)+Корег!T24</f>
        <v>0</v>
      </c>
      <c r="U19" s="181">
        <f>IF(Дані!$W37&lt;=0,ROUND(($Q19-I19-J19)*3.6%,2),)+Корег!U24</f>
        <v>0</v>
      </c>
      <c r="V19" s="181">
        <f>ROUND((I19+J19)*2%,2)+Корег!V24</f>
        <v>0</v>
      </c>
      <c r="W19" s="181">
        <f>ROUND(Q19*1%,2)+Корег!W24</f>
        <v>0</v>
      </c>
      <c r="X19" s="331"/>
      <c r="Y19" s="181">
        <f t="shared" si="4"/>
        <v>0</v>
      </c>
      <c r="Z19" s="188">
        <f t="shared" si="5"/>
        <v>0</v>
      </c>
      <c r="AA19" s="342"/>
    </row>
    <row r="20" spans="1:27" s="23" customFormat="1" ht="19.5" customHeight="1">
      <c r="A20" s="35">
        <v>13</v>
      </c>
      <c r="B20" s="279">
        <f>Дані!A38</f>
        <v>0</v>
      </c>
      <c r="C20" s="279">
        <f>Дані!C38</f>
        <v>0</v>
      </c>
      <c r="D20" s="225">
        <f>Таб!AI20</f>
        <v>0</v>
      </c>
      <c r="E20" s="189">
        <f>ROUND(IF(D20&lt;0,0,(Дані!R38+Дані!S38)/$D$4*D20),2)+Корег!E25</f>
        <v>0</v>
      </c>
      <c r="F20" s="189">
        <f>ROUND(IF(D20=0,0,Дані!T38/$D$4*D20),2)+Корег!F25</f>
        <v>0</v>
      </c>
      <c r="G20" s="189">
        <f>ROUND((E20+F20)*Дані!U38,2)+Корег!G25</f>
        <v>0</v>
      </c>
      <c r="H20" s="331"/>
      <c r="I20" s="331"/>
      <c r="J20" s="331"/>
      <c r="K20" s="398"/>
      <c r="L20" s="181">
        <f>IF($R$1&lt;7,індек!T133,індек!T136)+Корег!L20</f>
        <v>0</v>
      </c>
      <c r="M20" s="331"/>
      <c r="N20" s="331"/>
      <c r="O20" s="331"/>
      <c r="P20" s="331"/>
      <c r="Q20" s="188">
        <f t="shared" si="3"/>
        <v>0</v>
      </c>
      <c r="R20" s="331"/>
      <c r="S20" s="189">
        <f>ROUND(IF((Q20-SUM(T20:V20,Дані!V38))*0.15&lt;0,0,(Q20-SUM(T20:V20,Дані!V38))*0.15),2)+Корег!S25</f>
        <v>0</v>
      </c>
      <c r="T20" s="181">
        <f>IF(Дані!$W38&gt;0,ROUND(($Q20-I20-J20)*6.1%,2),)+Корег!T25</f>
        <v>0</v>
      </c>
      <c r="U20" s="181">
        <f>IF(Дані!$W38&lt;=0,ROUND(($Q20-I20-J20)*3.6%,2),)+Корег!U25</f>
        <v>0</v>
      </c>
      <c r="V20" s="181">
        <f>ROUND((I20+J20)*2%,2)+Корег!V25</f>
        <v>0</v>
      </c>
      <c r="W20" s="181">
        <f>ROUND(Q20*1%,2)+Корег!W25</f>
        <v>0</v>
      </c>
      <c r="X20" s="331"/>
      <c r="Y20" s="181">
        <f t="shared" si="4"/>
        <v>0</v>
      </c>
      <c r="Z20" s="188">
        <f t="shared" si="5"/>
        <v>0</v>
      </c>
      <c r="AA20" s="342"/>
    </row>
    <row r="21" spans="1:27" s="23" customFormat="1" ht="19.5" customHeight="1">
      <c r="A21" s="35">
        <v>14</v>
      </c>
      <c r="B21" s="279">
        <f>Дані!A39</f>
        <v>0</v>
      </c>
      <c r="C21" s="279">
        <f>Дані!C39</f>
        <v>0</v>
      </c>
      <c r="D21" s="225">
        <f>Таб!AI21</f>
        <v>0</v>
      </c>
      <c r="E21" s="189">
        <f>ROUND(IF(D21&lt;0,0,(Дані!R39+Дані!S39)/$D$4*D21),2)+Корег!E26</f>
        <v>0</v>
      </c>
      <c r="F21" s="189">
        <f>ROUND(IF(D21=0,0,Дані!T39/$D$4*D21),2)+Корег!F26</f>
        <v>0</v>
      </c>
      <c r="G21" s="189">
        <f>ROUND((E21+F21)*Дані!U39,2)+Корег!G26</f>
        <v>0</v>
      </c>
      <c r="H21" s="331"/>
      <c r="I21" s="331"/>
      <c r="J21" s="331"/>
      <c r="K21" s="398"/>
      <c r="L21" s="181">
        <f>IF($R$1&lt;7,індек!T144,індек!T147)+Корег!L21</f>
        <v>0</v>
      </c>
      <c r="M21" s="331"/>
      <c r="N21" s="331"/>
      <c r="O21" s="331"/>
      <c r="P21" s="331"/>
      <c r="Q21" s="188">
        <f t="shared" si="3"/>
        <v>0</v>
      </c>
      <c r="R21" s="331"/>
      <c r="S21" s="189">
        <f>ROUND(IF((Q21-SUM(T21:V21,Дані!V39))*0.15&lt;0,0,(Q21-SUM(T21:V21,Дані!V39))*0.15),2)+Корег!S26</f>
        <v>0</v>
      </c>
      <c r="T21" s="181">
        <f>IF(Дані!$W39&gt;0,ROUND(($Q21-I21-J21)*6.1%,2),)+Корег!T26</f>
        <v>0</v>
      </c>
      <c r="U21" s="181">
        <f>IF(Дані!$W39&lt;=0,ROUND(($Q21-I21-J21)*3.6%,2),)+Корег!U26</f>
        <v>0</v>
      </c>
      <c r="V21" s="181">
        <f>ROUND((I21+J21)*2%,2)+Корег!V26</f>
        <v>0</v>
      </c>
      <c r="W21" s="181">
        <f>ROUND(Q21*1%,2)+Корег!W26</f>
        <v>0</v>
      </c>
      <c r="X21" s="331"/>
      <c r="Y21" s="181">
        <f t="shared" si="4"/>
        <v>0</v>
      </c>
      <c r="Z21" s="188">
        <f t="shared" si="5"/>
        <v>0</v>
      </c>
      <c r="AA21" s="342"/>
    </row>
    <row r="22" spans="1:27" s="23" customFormat="1" ht="19.5" customHeight="1">
      <c r="A22" s="35">
        <v>15</v>
      </c>
      <c r="B22" s="279">
        <f>Дані!A40</f>
        <v>0</v>
      </c>
      <c r="C22" s="279">
        <f>Дані!C40</f>
        <v>0</v>
      </c>
      <c r="D22" s="225">
        <f>Таб!AI22</f>
        <v>0</v>
      </c>
      <c r="E22" s="189">
        <f>ROUND(IF(D22&lt;0,0,(Дані!R40+Дані!S40)/$D$4*D22),2)+Корег!E27</f>
        <v>0</v>
      </c>
      <c r="F22" s="189">
        <f>ROUND(IF(D22=0,0,Дані!T40/$D$4*D22),2)+Корег!F27</f>
        <v>0</v>
      </c>
      <c r="G22" s="189">
        <f>ROUND((E22+F22)*Дані!U40,2)+Корег!G27</f>
        <v>0</v>
      </c>
      <c r="H22" s="331"/>
      <c r="I22" s="331"/>
      <c r="J22" s="331"/>
      <c r="K22" s="398"/>
      <c r="L22" s="181">
        <f>IF($R$1&lt;7,індек!T153,індек!T156)+Корег!L22</f>
        <v>0</v>
      </c>
      <c r="M22" s="331"/>
      <c r="N22" s="331"/>
      <c r="O22" s="331"/>
      <c r="P22" s="331"/>
      <c r="Q22" s="188">
        <f t="shared" si="3"/>
        <v>0</v>
      </c>
      <c r="R22" s="331"/>
      <c r="S22" s="189">
        <f>ROUND(IF((Q22-SUM(T22:V22,Дані!V40))*0.15&lt;0,0,(Q22-SUM(T22:V22,Дані!V40))*0.15),2)+Корег!S27</f>
        <v>0</v>
      </c>
      <c r="T22" s="181">
        <f>IF(Дані!$W40&gt;0,ROUND(($Q22-I22-J22)*6.1%,2),)+Корег!T27</f>
        <v>0</v>
      </c>
      <c r="U22" s="181">
        <f>IF(Дані!$W40&lt;=0,ROUND(($Q22-I22-J22)*3.6%,2),)+Корег!U27</f>
        <v>0</v>
      </c>
      <c r="V22" s="181">
        <f>ROUND((I22+J22)*2%,2)+Корег!V27</f>
        <v>0</v>
      </c>
      <c r="W22" s="181">
        <f>ROUND(Q22*1%,2)+Корег!W27</f>
        <v>0</v>
      </c>
      <c r="X22" s="331"/>
      <c r="Y22" s="181">
        <f t="shared" si="4"/>
        <v>0</v>
      </c>
      <c r="Z22" s="188">
        <f t="shared" si="5"/>
        <v>0</v>
      </c>
      <c r="AA22" s="342"/>
    </row>
    <row r="23" spans="1:26" s="23" customFormat="1" ht="19.5" customHeight="1">
      <c r="A23" s="534" t="s">
        <v>10</v>
      </c>
      <c r="B23" s="535"/>
      <c r="C23" s="536"/>
      <c r="D23" s="37"/>
      <c r="E23" s="181">
        <f>SUM(E8:E22)</f>
        <v>2328</v>
      </c>
      <c r="F23" s="181">
        <f>SUM(F8:F22)</f>
        <v>90</v>
      </c>
      <c r="G23" s="181">
        <f>SUM(G8:G22)</f>
        <v>0</v>
      </c>
      <c r="H23" s="181">
        <f>SUM(H8:H22)</f>
        <v>0</v>
      </c>
      <c r="I23" s="181">
        <f>SUM(I8:I22)</f>
        <v>0</v>
      </c>
      <c r="J23" s="181">
        <f aca="true" t="shared" si="6" ref="J23:R23">SUM(J8:J22)</f>
        <v>0</v>
      </c>
      <c r="K23" s="181">
        <f t="shared" si="6"/>
        <v>0</v>
      </c>
      <c r="L23" s="181">
        <f t="shared" si="6"/>
        <v>763.5</v>
      </c>
      <c r="M23" s="181">
        <f t="shared" si="6"/>
        <v>0</v>
      </c>
      <c r="N23" s="181">
        <f t="shared" si="6"/>
        <v>0</v>
      </c>
      <c r="O23" s="181">
        <f t="shared" si="6"/>
        <v>650</v>
      </c>
      <c r="P23" s="181">
        <f t="shared" si="6"/>
        <v>0</v>
      </c>
      <c r="Q23" s="181">
        <f t="shared" si="6"/>
        <v>3831.5</v>
      </c>
      <c r="R23" s="181">
        <f t="shared" si="6"/>
        <v>0</v>
      </c>
      <c r="S23" s="181">
        <f aca="true" t="shared" si="7" ref="S23:Z23">SUM(S8:S22)</f>
        <v>350.15</v>
      </c>
      <c r="T23" s="181">
        <f t="shared" si="7"/>
        <v>233.72000000000003</v>
      </c>
      <c r="U23" s="181">
        <f t="shared" si="7"/>
        <v>0</v>
      </c>
      <c r="V23" s="181">
        <f t="shared" si="7"/>
        <v>0</v>
      </c>
      <c r="W23" s="181">
        <f t="shared" si="7"/>
        <v>38.32</v>
      </c>
      <c r="X23" s="181">
        <f t="shared" si="7"/>
        <v>0</v>
      </c>
      <c r="Y23" s="181">
        <f t="shared" si="7"/>
        <v>622.1899999999999</v>
      </c>
      <c r="Z23" s="181">
        <f t="shared" si="7"/>
        <v>3209.3100000000004</v>
      </c>
    </row>
    <row r="24" spans="1:26" s="23" customFormat="1" ht="6.75" customHeight="1">
      <c r="A24" s="29"/>
      <c r="B24" s="29"/>
      <c r="C24" s="29"/>
      <c r="D24" s="29"/>
      <c r="E24" s="38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29"/>
      <c r="Y24" s="29"/>
      <c r="Z24" s="29"/>
    </row>
    <row r="25" spans="1:26" s="23" customFormat="1" ht="15" customHeight="1">
      <c r="A25" s="525" t="s">
        <v>252</v>
      </c>
      <c r="B25" s="530"/>
      <c r="C25" s="209" t="s">
        <v>62</v>
      </c>
      <c r="D25" s="525" t="s">
        <v>246</v>
      </c>
      <c r="E25" s="526"/>
      <c r="F25" s="399" t="s">
        <v>341</v>
      </c>
      <c r="G25" s="451" t="s">
        <v>251</v>
      </c>
      <c r="H25" s="451"/>
      <c r="I25" s="544" t="s">
        <v>330</v>
      </c>
      <c r="J25" s="545"/>
      <c r="K25" s="545"/>
      <c r="L25" s="545"/>
      <c r="M25" s="545"/>
      <c r="N25" s="545"/>
      <c r="O25" s="546"/>
      <c r="P25" s="547" t="s">
        <v>249</v>
      </c>
      <c r="Q25" s="547"/>
      <c r="R25" s="195"/>
      <c r="S25" s="453">
        <f>ROUND(Q23*1%,2)</f>
        <v>38.32</v>
      </c>
      <c r="T25" s="448"/>
      <c r="U25" s="537" t="s">
        <v>40</v>
      </c>
      <c r="V25" s="538"/>
      <c r="W25" s="193">
        <f>ROUND(W23*65%,2)</f>
        <v>24.91</v>
      </c>
      <c r="X25" s="193"/>
      <c r="Y25" s="548">
        <f>SUM(W25:W26)</f>
        <v>38.32</v>
      </c>
      <c r="Z25" s="555">
        <f>IF(S25=W23,W23-Y25,S25-Y25)</f>
        <v>0</v>
      </c>
    </row>
    <row r="26" spans="1:26" s="23" customFormat="1" ht="15" customHeight="1">
      <c r="A26" s="521" t="s">
        <v>337</v>
      </c>
      <c r="B26" s="521"/>
      <c r="C26" s="204">
        <f>S23</f>
        <v>350.15</v>
      </c>
      <c r="D26" s="418">
        <f>ROUNDDOWN($C26/2,-1)-F26</f>
        <v>170</v>
      </c>
      <c r="E26" s="419"/>
      <c r="F26" s="400"/>
      <c r="G26" s="455">
        <f aca="true" t="shared" si="8" ref="G26:G32">C26-SUM(D26:F26)</f>
        <v>180.14999999999998</v>
      </c>
      <c r="H26" s="450"/>
      <c r="I26" s="441" t="s">
        <v>328</v>
      </c>
      <c r="J26" s="441"/>
      <c r="K26" s="349" t="s">
        <v>329</v>
      </c>
      <c r="L26" s="376" t="s">
        <v>308</v>
      </c>
      <c r="M26" s="377">
        <v>0.01</v>
      </c>
      <c r="N26" s="377" t="s">
        <v>336</v>
      </c>
      <c r="O26" s="377" t="s">
        <v>335</v>
      </c>
      <c r="P26" s="547"/>
      <c r="Q26" s="547"/>
      <c r="R26" s="196"/>
      <c r="S26" s="449"/>
      <c r="T26" s="439"/>
      <c r="U26" s="537" t="s">
        <v>41</v>
      </c>
      <c r="V26" s="538"/>
      <c r="W26" s="194">
        <f>W23-W25</f>
        <v>13.41</v>
      </c>
      <c r="X26" s="256"/>
      <c r="Y26" s="548"/>
      <c r="Z26" s="556"/>
    </row>
    <row r="27" spans="1:26" s="220" customFormat="1" ht="15" customHeight="1">
      <c r="A27" s="521" t="s">
        <v>255</v>
      </c>
      <c r="B27" s="521"/>
      <c r="C27" s="204">
        <f>SUM(T23:V23)</f>
        <v>233.72000000000003</v>
      </c>
      <c r="D27" s="418">
        <f>ROUNDDOWN($C27/2,-1)-F27</f>
        <v>110</v>
      </c>
      <c r="E27" s="419"/>
      <c r="F27" s="400"/>
      <c r="G27" s="455">
        <f t="shared" si="8"/>
        <v>123.72000000000003</v>
      </c>
      <c r="H27" s="450"/>
      <c r="I27" s="440">
        <f>Q8</f>
        <v>2486</v>
      </c>
      <c r="J27" s="440"/>
      <c r="K27" s="353">
        <f>S8</f>
        <v>350.15</v>
      </c>
      <c r="L27" s="354">
        <f>SUM(T8:V8)</f>
        <v>151.65</v>
      </c>
      <c r="M27" s="353">
        <f>W8</f>
        <v>24.86</v>
      </c>
      <c r="N27" s="351">
        <f>R8</f>
        <v>0</v>
      </c>
      <c r="O27" s="351">
        <f>Z8</f>
        <v>1959.3400000000001</v>
      </c>
      <c r="P27" s="179"/>
      <c r="Q27" s="179"/>
      <c r="R27" s="179"/>
      <c r="S27" s="47"/>
      <c r="T27" s="47"/>
      <c r="U27" s="191"/>
      <c r="V27" s="191"/>
      <c r="W27" s="210"/>
      <c r="X27" s="210"/>
      <c r="Y27" s="208"/>
      <c r="Z27" s="203"/>
    </row>
    <row r="28" spans="1:26" s="23" customFormat="1" ht="15" customHeight="1">
      <c r="A28" s="521" t="s">
        <v>262</v>
      </c>
      <c r="B28" s="521"/>
      <c r="C28" s="204">
        <f>W25</f>
        <v>24.91</v>
      </c>
      <c r="D28" s="523"/>
      <c r="E28" s="524"/>
      <c r="F28" s="401"/>
      <c r="G28" s="455">
        <f t="shared" si="8"/>
        <v>24.91</v>
      </c>
      <c r="H28" s="450"/>
      <c r="I28" s="452">
        <f>Q11</f>
        <v>0</v>
      </c>
      <c r="J28" s="452"/>
      <c r="K28" s="353">
        <f>S11</f>
        <v>0</v>
      </c>
      <c r="L28" s="354">
        <f>SUM(T11:V11)</f>
        <v>0</v>
      </c>
      <c r="M28" s="353">
        <f>W11</f>
        <v>0</v>
      </c>
      <c r="N28" s="353">
        <f>R11</f>
        <v>0</v>
      </c>
      <c r="O28" s="353">
        <f>Z11</f>
        <v>0</v>
      </c>
      <c r="P28" s="445" t="s">
        <v>247</v>
      </c>
      <c r="Q28" s="445"/>
      <c r="R28" s="138"/>
      <c r="S28" s="435">
        <v>0.061</v>
      </c>
      <c r="T28" s="435"/>
      <c r="U28" s="442">
        <f>SUMIF(T8:T22,"&gt;0",Q8:Q22)</f>
        <v>3831.5</v>
      </c>
      <c r="V28" s="442"/>
      <c r="W28" s="49"/>
      <c r="X28" s="49"/>
      <c r="Y28" s="336">
        <f>ROUND(U28*6.1%,2)</f>
        <v>233.72</v>
      </c>
      <c r="Z28" s="332">
        <f>T23-Y28</f>
        <v>0</v>
      </c>
    </row>
    <row r="29" spans="1:26" s="220" customFormat="1" ht="15" customHeight="1">
      <c r="A29" s="521" t="s">
        <v>263</v>
      </c>
      <c r="B29" s="521"/>
      <c r="C29" s="204">
        <f>W26</f>
        <v>13.41</v>
      </c>
      <c r="D29" s="523"/>
      <c r="E29" s="524"/>
      <c r="F29" s="401"/>
      <c r="G29" s="455">
        <f t="shared" si="8"/>
        <v>13.41</v>
      </c>
      <c r="H29" s="450"/>
      <c r="I29" s="452"/>
      <c r="J29" s="452"/>
      <c r="K29" s="353"/>
      <c r="L29" s="354"/>
      <c r="M29" s="353"/>
      <c r="N29" s="353"/>
      <c r="O29" s="353"/>
      <c r="P29" s="41"/>
      <c r="Q29" s="50"/>
      <c r="R29" s="50"/>
      <c r="S29" s="51"/>
      <c r="T29" s="51"/>
      <c r="U29" s="197"/>
      <c r="V29" s="197"/>
      <c r="W29" s="51"/>
      <c r="X29" s="51"/>
      <c r="Y29" s="198"/>
      <c r="Z29" s="192"/>
    </row>
    <row r="30" spans="1:26" s="23" customFormat="1" ht="15" customHeight="1">
      <c r="A30" s="521"/>
      <c r="B30" s="521"/>
      <c r="C30" s="204">
        <f>X23</f>
        <v>0</v>
      </c>
      <c r="D30" s="418">
        <f>ROUNDDOWN($C30/2,-1)-F30</f>
        <v>0</v>
      </c>
      <c r="E30" s="419"/>
      <c r="F30" s="400"/>
      <c r="G30" s="455">
        <f t="shared" si="8"/>
        <v>0</v>
      </c>
      <c r="H30" s="450"/>
      <c r="I30" s="452"/>
      <c r="J30" s="452"/>
      <c r="K30" s="353"/>
      <c r="L30" s="354"/>
      <c r="M30" s="353"/>
      <c r="N30" s="353"/>
      <c r="O30" s="353"/>
      <c r="P30" s="522" t="s">
        <v>309</v>
      </c>
      <c r="Q30" s="522"/>
      <c r="R30" s="138"/>
      <c r="S30" s="435">
        <v>0.036</v>
      </c>
      <c r="T30" s="435"/>
      <c r="U30" s="442">
        <f>SUMIF(U8:U22,"&gt;0",Q8:Q22)</f>
        <v>0</v>
      </c>
      <c r="V30" s="442"/>
      <c r="W30" s="114"/>
      <c r="X30" s="114"/>
      <c r="Y30" s="337">
        <f>ROUND(U30*3.6%,2)</f>
        <v>0</v>
      </c>
      <c r="Z30" s="333">
        <f>U23-Y30</f>
        <v>0</v>
      </c>
    </row>
    <row r="31" spans="1:26" s="23" customFormat="1" ht="15" customHeight="1">
      <c r="A31" s="521" t="s">
        <v>254</v>
      </c>
      <c r="B31" s="521"/>
      <c r="C31" s="204">
        <f>SUM(R23,Z23)</f>
        <v>3209.3100000000004</v>
      </c>
      <c r="D31" s="418">
        <f>R23-F31</f>
        <v>0</v>
      </c>
      <c r="E31" s="419"/>
      <c r="F31" s="900">
        <f>N34</f>
        <v>0</v>
      </c>
      <c r="G31" s="455">
        <f t="shared" si="8"/>
        <v>3209.3100000000004</v>
      </c>
      <c r="H31" s="450"/>
      <c r="I31" s="452"/>
      <c r="J31" s="452"/>
      <c r="K31" s="353"/>
      <c r="L31" s="354"/>
      <c r="M31" s="353"/>
      <c r="N31" s="353"/>
      <c r="O31" s="353"/>
      <c r="P31" s="169"/>
      <c r="Q31" s="169"/>
      <c r="R31" s="179"/>
      <c r="S31" s="47"/>
      <c r="T31" s="47"/>
      <c r="U31" s="191"/>
      <c r="V31" s="191"/>
      <c r="W31" s="178"/>
      <c r="X31" s="178"/>
      <c r="Y31" s="191"/>
      <c r="Z31" s="203"/>
    </row>
    <row r="32" spans="1:26" s="23" customFormat="1" ht="15" customHeight="1">
      <c r="A32" s="433" t="s">
        <v>62</v>
      </c>
      <c r="B32" s="434"/>
      <c r="C32" s="403">
        <f>SUM(C26:C31)</f>
        <v>3831.5000000000005</v>
      </c>
      <c r="D32" s="427">
        <f>SUM(D26:E31)</f>
        <v>280</v>
      </c>
      <c r="E32" s="417"/>
      <c r="F32" s="404">
        <f>SUM(F26:F31)</f>
        <v>0</v>
      </c>
      <c r="G32" s="570">
        <f t="shared" si="8"/>
        <v>3551.5000000000005</v>
      </c>
      <c r="H32" s="571"/>
      <c r="I32" s="440"/>
      <c r="J32" s="440"/>
      <c r="K32" s="354"/>
      <c r="L32" s="354"/>
      <c r="M32" s="353"/>
      <c r="N32" s="353"/>
      <c r="O32" s="353"/>
      <c r="P32" s="445" t="s">
        <v>248</v>
      </c>
      <c r="Q32" s="445"/>
      <c r="R32" s="138"/>
      <c r="S32" s="435">
        <v>0.02</v>
      </c>
      <c r="T32" s="435"/>
      <c r="U32" s="442">
        <f>SUMIF(V8:V22,"&gt;0",Q8:Q22)</f>
        <v>0</v>
      </c>
      <c r="V32" s="442"/>
      <c r="W32" s="114"/>
      <c r="X32" s="114"/>
      <c r="Y32" s="337">
        <f>ROUND(U32*2%,2)</f>
        <v>0</v>
      </c>
      <c r="Z32" s="333">
        <f>V23-Y32</f>
        <v>0</v>
      </c>
    </row>
    <row r="33" spans="1:15" s="23" customFormat="1" ht="15" customHeight="1">
      <c r="A33" s="521" t="s">
        <v>334</v>
      </c>
      <c r="B33" s="521"/>
      <c r="C33" s="204">
        <f>M39</f>
        <v>697.49</v>
      </c>
      <c r="D33" s="457">
        <f>ROUNDDOWN($C33/2,-1)</f>
        <v>340</v>
      </c>
      <c r="E33" s="454"/>
      <c r="F33" s="402"/>
      <c r="G33" s="455">
        <f>C33-SUM(D33:F33)</f>
        <v>357.49</v>
      </c>
      <c r="H33" s="450"/>
      <c r="I33" s="452"/>
      <c r="J33" s="452"/>
      <c r="K33" s="354"/>
      <c r="L33" s="354"/>
      <c r="M33" s="353"/>
      <c r="N33" s="353"/>
      <c r="O33" s="353"/>
    </row>
    <row r="34" spans="1:26" s="23" customFormat="1" ht="15" customHeight="1">
      <c r="A34" s="426" t="s">
        <v>256</v>
      </c>
      <c r="B34" s="426"/>
      <c r="C34" s="289">
        <f>P39</f>
        <v>4.81</v>
      </c>
      <c r="D34" s="418">
        <f>ROUNDDOWN($C34/2,-1)</f>
        <v>0</v>
      </c>
      <c r="E34" s="419"/>
      <c r="F34" s="402"/>
      <c r="G34" s="455">
        <f>C34-SUM(D34:F34)</f>
        <v>4.81</v>
      </c>
      <c r="H34" s="450"/>
      <c r="I34" s="569">
        <f>SUM(I27:I33)</f>
        <v>2486</v>
      </c>
      <c r="J34" s="569"/>
      <c r="K34" s="352">
        <f>SUM(K27:K33)</f>
        <v>350.15</v>
      </c>
      <c r="L34" s="352">
        <f>SUM(L27:L33)</f>
        <v>151.65</v>
      </c>
      <c r="M34" s="352">
        <f>SUM(M27:M33)</f>
        <v>24.86</v>
      </c>
      <c r="N34" s="352">
        <f>SUM(N27:N33)</f>
        <v>0</v>
      </c>
      <c r="O34" s="352">
        <f>SUM(O27:O33)</f>
        <v>1959.3400000000001</v>
      </c>
      <c r="P34" s="41"/>
      <c r="Q34" s="50"/>
      <c r="R34" s="50"/>
      <c r="S34" s="51"/>
      <c r="T34" s="51"/>
      <c r="U34" s="51"/>
      <c r="V34" s="51"/>
      <c r="W34" s="55"/>
      <c r="X34" s="55"/>
      <c r="Y34" s="198"/>
      <c r="Z34" s="192"/>
    </row>
    <row r="35" spans="1:26" s="23" customFormat="1" ht="1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42"/>
      <c r="P35" s="42"/>
      <c r="Q35" s="46"/>
      <c r="R35" s="46"/>
      <c r="S35" s="46"/>
      <c r="T35" s="47"/>
      <c r="U35" s="47"/>
      <c r="V35" s="48"/>
      <c r="W35" s="44"/>
      <c r="X35" s="44"/>
      <c r="Y35" s="43"/>
      <c r="Z35" s="26"/>
    </row>
    <row r="36" spans="1:26" s="23" customFormat="1" ht="19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205"/>
      <c r="N36" s="205"/>
      <c r="O36" s="205"/>
      <c r="P36" s="205"/>
      <c r="Q36" s="205"/>
      <c r="R36" s="205"/>
      <c r="S36" s="205"/>
      <c r="T36" s="45"/>
      <c r="U36" s="45"/>
      <c r="V36" s="45"/>
      <c r="W36" s="205"/>
      <c r="X36" s="205"/>
      <c r="Y36" s="205"/>
      <c r="Z36" s="205"/>
    </row>
    <row r="37" spans="1:26" s="23" customFormat="1" ht="19.5" customHeight="1">
      <c r="A37" s="428" t="s">
        <v>260</v>
      </c>
      <c r="B37" s="429"/>
      <c r="C37" s="429"/>
      <c r="D37" s="425"/>
      <c r="E37" s="428" t="s">
        <v>310</v>
      </c>
      <c r="F37" s="429"/>
      <c r="G37" s="429"/>
      <c r="H37" s="251"/>
      <c r="I37" s="252"/>
      <c r="J37" s="247" t="s">
        <v>332</v>
      </c>
      <c r="K37" s="247"/>
      <c r="L37" s="248"/>
      <c r="M37" s="559" t="s">
        <v>327</v>
      </c>
      <c r="N37" s="422"/>
      <c r="O37" s="422"/>
      <c r="P37" s="422" t="s">
        <v>295</v>
      </c>
      <c r="Q37" s="422"/>
      <c r="R37" s="422"/>
      <c r="S37" s="422"/>
      <c r="T37" s="414" t="s">
        <v>324</v>
      </c>
      <c r="U37" s="414"/>
      <c r="V37" s="414"/>
      <c r="W37" s="497" t="s">
        <v>326</v>
      </c>
      <c r="X37" s="497"/>
      <c r="Y37" s="497"/>
      <c r="Z37" s="497"/>
    </row>
    <row r="38" spans="1:26" s="23" customFormat="1" ht="19.5" customHeight="1" thickBot="1">
      <c r="A38" s="102" t="s">
        <v>113</v>
      </c>
      <c r="B38" s="139"/>
      <c r="C38" s="430">
        <f>SUM(Q8:Q22)-F38</f>
        <v>1345.5</v>
      </c>
      <c r="D38" s="431"/>
      <c r="E38" s="290" t="s">
        <v>259</v>
      </c>
      <c r="F38" s="438">
        <f>I34</f>
        <v>2486</v>
      </c>
      <c r="G38" s="432"/>
      <c r="H38" s="254"/>
      <c r="I38" s="253"/>
      <c r="J38" s="245" t="s">
        <v>113</v>
      </c>
      <c r="K38" s="446">
        <f>SUMIF(V8:V22,"&gt;0",I8:J22)</f>
        <v>0</v>
      </c>
      <c r="L38" s="447"/>
      <c r="M38" s="137" t="s">
        <v>113</v>
      </c>
      <c r="N38" s="446">
        <f>SUM(C38,F38,K38)</f>
        <v>3831.5</v>
      </c>
      <c r="O38" s="447"/>
      <c r="P38" s="347">
        <v>2240</v>
      </c>
      <c r="Q38" s="443">
        <f>C31</f>
        <v>3209.3100000000004</v>
      </c>
      <c r="R38" s="443"/>
      <c r="S38" s="444"/>
      <c r="T38" s="501">
        <f>Q23</f>
        <v>3831.5</v>
      </c>
      <c r="U38" s="501"/>
      <c r="V38" s="501"/>
      <c r="W38" s="498">
        <f>M39+T38</f>
        <v>4528.99</v>
      </c>
      <c r="X38" s="499"/>
      <c r="Y38" s="499"/>
      <c r="Z38" s="500"/>
    </row>
    <row r="39" spans="1:26" s="23" customFormat="1" ht="19.5" customHeight="1" thickBot="1">
      <c r="A39" s="436">
        <f>ROUND(C38*36.3%,2)+Корег!A39</f>
        <v>488.42</v>
      </c>
      <c r="B39" s="446"/>
      <c r="C39" s="446"/>
      <c r="D39" s="447"/>
      <c r="E39" s="437">
        <f>ROUND(F38*8.41%,2)+Корег!E39</f>
        <v>209.07</v>
      </c>
      <c r="F39" s="437"/>
      <c r="G39" s="437"/>
      <c r="H39" s="249"/>
      <c r="I39" s="250"/>
      <c r="J39" s="436">
        <f>ROUND(K38*33.2%,2)+Корег!J39</f>
        <v>0</v>
      </c>
      <c r="K39" s="446"/>
      <c r="L39" s="447"/>
      <c r="M39" s="424">
        <f>SUM(A39:L39)</f>
        <v>697.49</v>
      </c>
      <c r="N39" s="557"/>
      <c r="O39" s="558"/>
      <c r="P39" s="423">
        <f>ROUND(Q38*0.15%,2)+Корег!P39</f>
        <v>4.81</v>
      </c>
      <c r="Q39" s="423"/>
      <c r="R39" s="424"/>
      <c r="S39" s="424"/>
      <c r="T39" s="415" t="s">
        <v>168</v>
      </c>
      <c r="U39" s="416"/>
      <c r="V39" s="416"/>
      <c r="W39" s="420">
        <f>P39+W38</f>
        <v>4533.8</v>
      </c>
      <c r="X39" s="420"/>
      <c r="Y39" s="420"/>
      <c r="Z39" s="421"/>
    </row>
    <row r="40" spans="1:26" ht="9.75" customHeight="1">
      <c r="A40" s="202" t="s">
        <v>219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131"/>
      <c r="V40" s="131"/>
      <c r="W40" s="132"/>
      <c r="X40" s="132"/>
      <c r="Y40" s="133"/>
      <c r="Z40" s="133"/>
    </row>
    <row r="41" spans="1:26" ht="12.75" customHeight="1">
      <c r="A41" s="180" t="s">
        <v>0</v>
      </c>
      <c r="B41" s="177">
        <v>-24</v>
      </c>
      <c r="C41" s="222" t="s">
        <v>347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9"/>
      <c r="V41" s="29"/>
      <c r="W41" s="29"/>
      <c r="X41" s="29"/>
      <c r="Y41" s="126"/>
      <c r="Z41" s="29"/>
    </row>
    <row r="42" spans="1:20" ht="12.75" customHeight="1">
      <c r="A42" s="180" t="s">
        <v>280</v>
      </c>
      <c r="B42" s="227">
        <v>-21.92</v>
      </c>
      <c r="C42" s="201" t="s">
        <v>348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</row>
    <row r="43" spans="1:26" ht="12.75" customHeight="1">
      <c r="A43" s="180" t="s">
        <v>280</v>
      </c>
      <c r="B43" s="227">
        <v>-3.93</v>
      </c>
      <c r="C43" s="553" t="s">
        <v>349</v>
      </c>
      <c r="D43" s="554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</row>
    <row r="44" spans="1:26" ht="12.75">
      <c r="A44" s="215"/>
      <c r="B44" s="177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</row>
  </sheetData>
  <sheetProtection sheet="1" objects="1" scenarios="1" formatCells="0" selectLockedCells="1"/>
  <mergeCells count="120">
    <mergeCell ref="I34:J34"/>
    <mergeCell ref="A28:B28"/>
    <mergeCell ref="A30:B30"/>
    <mergeCell ref="D30:E30"/>
    <mergeCell ref="D28:E28"/>
    <mergeCell ref="A31:B31"/>
    <mergeCell ref="D31:E31"/>
    <mergeCell ref="G34:H34"/>
    <mergeCell ref="G32:H32"/>
    <mergeCell ref="G31:H31"/>
    <mergeCell ref="W1:Y1"/>
    <mergeCell ref="G2:U2"/>
    <mergeCell ref="R5:Y5"/>
    <mergeCell ref="V4:W4"/>
    <mergeCell ref="G1:Q1"/>
    <mergeCell ref="A1:B1"/>
    <mergeCell ref="A2:B2"/>
    <mergeCell ref="C2:F2"/>
    <mergeCell ref="C1:F1"/>
    <mergeCell ref="C43:D43"/>
    <mergeCell ref="Z25:Z26"/>
    <mergeCell ref="U26:V26"/>
    <mergeCell ref="M39:O39"/>
    <mergeCell ref="M37:O37"/>
    <mergeCell ref="J39:L39"/>
    <mergeCell ref="I28:J28"/>
    <mergeCell ref="I29:J29"/>
    <mergeCell ref="G26:H26"/>
    <mergeCell ref="G27:H27"/>
    <mergeCell ref="Y25:Y26"/>
    <mergeCell ref="I6:J6"/>
    <mergeCell ref="U6:U7"/>
    <mergeCell ref="V6:V7"/>
    <mergeCell ref="O6:O7"/>
    <mergeCell ref="L6:L7"/>
    <mergeCell ref="M6:M7"/>
    <mergeCell ref="N6:N7"/>
    <mergeCell ref="Y6:Y7"/>
    <mergeCell ref="P6:P7"/>
    <mergeCell ref="U25:V25"/>
    <mergeCell ref="F4:J4"/>
    <mergeCell ref="M4:O4"/>
    <mergeCell ref="R4:U4"/>
    <mergeCell ref="R6:R7"/>
    <mergeCell ref="S6:S7"/>
    <mergeCell ref="I25:O25"/>
    <mergeCell ref="P25:Q26"/>
    <mergeCell ref="A33:B33"/>
    <mergeCell ref="A5:A7"/>
    <mergeCell ref="G6:G7"/>
    <mergeCell ref="A27:B27"/>
    <mergeCell ref="A25:B25"/>
    <mergeCell ref="D5:D7"/>
    <mergeCell ref="D26:E26"/>
    <mergeCell ref="D27:E27"/>
    <mergeCell ref="A23:C23"/>
    <mergeCell ref="A26:B26"/>
    <mergeCell ref="U28:V28"/>
    <mergeCell ref="S28:T28"/>
    <mergeCell ref="P30:Q30"/>
    <mergeCell ref="S30:T30"/>
    <mergeCell ref="P28:Q28"/>
    <mergeCell ref="U30:V30"/>
    <mergeCell ref="A29:B29"/>
    <mergeCell ref="G30:H30"/>
    <mergeCell ref="D29:E29"/>
    <mergeCell ref="Z5:Z7"/>
    <mergeCell ref="M3:O3"/>
    <mergeCell ref="Q5:Q7"/>
    <mergeCell ref="E5:P5"/>
    <mergeCell ref="U3:Y3"/>
    <mergeCell ref="K6:K7"/>
    <mergeCell ref="T6:T7"/>
    <mergeCell ref="W6:W7"/>
    <mergeCell ref="H6:H7"/>
    <mergeCell ref="X6:X7"/>
    <mergeCell ref="A3:B3"/>
    <mergeCell ref="C3:F3"/>
    <mergeCell ref="A4:C4"/>
    <mergeCell ref="C5:C7"/>
    <mergeCell ref="B5:B7"/>
    <mergeCell ref="E6:E7"/>
    <mergeCell ref="F6:F7"/>
    <mergeCell ref="W39:Z39"/>
    <mergeCell ref="P37:S37"/>
    <mergeCell ref="P39:S39"/>
    <mergeCell ref="T37:V37"/>
    <mergeCell ref="T39:V39"/>
    <mergeCell ref="W37:Z37"/>
    <mergeCell ref="W38:Z38"/>
    <mergeCell ref="T38:V38"/>
    <mergeCell ref="A39:D39"/>
    <mergeCell ref="E39:G39"/>
    <mergeCell ref="F38:G38"/>
    <mergeCell ref="A32:B32"/>
    <mergeCell ref="E37:G37"/>
    <mergeCell ref="C38:D38"/>
    <mergeCell ref="A37:D37"/>
    <mergeCell ref="A34:B34"/>
    <mergeCell ref="D32:E32"/>
    <mergeCell ref="D34:E34"/>
    <mergeCell ref="U32:V32"/>
    <mergeCell ref="Q38:S38"/>
    <mergeCell ref="P32:Q32"/>
    <mergeCell ref="K38:L38"/>
    <mergeCell ref="N38:O38"/>
    <mergeCell ref="S32:T32"/>
    <mergeCell ref="I33:J33"/>
    <mergeCell ref="I30:J30"/>
    <mergeCell ref="S25:T26"/>
    <mergeCell ref="I27:J27"/>
    <mergeCell ref="I26:J26"/>
    <mergeCell ref="I31:J31"/>
    <mergeCell ref="I32:J32"/>
    <mergeCell ref="D33:E33"/>
    <mergeCell ref="G29:H29"/>
    <mergeCell ref="G25:H25"/>
    <mergeCell ref="G28:H28"/>
    <mergeCell ref="G33:H33"/>
    <mergeCell ref="D25:E25"/>
  </mergeCells>
  <printOptions/>
  <pageMargins left="0" right="0" top="0.984251968503937" bottom="0" header="0" footer="0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">
    <tabColor indexed="34"/>
  </sheetPr>
  <dimension ref="A1:AA40"/>
  <sheetViews>
    <sheetView zoomScale="75" zoomScaleNormal="75" workbookViewId="0" topLeftCell="A7">
      <selection activeCell="P10" sqref="P10"/>
    </sheetView>
  </sheetViews>
  <sheetFormatPr defaultColWidth="9.140625" defaultRowHeight="12.75"/>
  <cols>
    <col min="1" max="1" width="5.00390625" style="23" customWidth="1"/>
    <col min="2" max="2" width="15.7109375" style="23" customWidth="1"/>
    <col min="3" max="3" width="14.7109375" style="23" customWidth="1"/>
    <col min="4" max="4" width="4.7109375" style="23" customWidth="1"/>
    <col min="5" max="8" width="7.28125" style="23" customWidth="1"/>
    <col min="9" max="10" width="5.7109375" style="23" customWidth="1"/>
    <col min="11" max="15" width="7.28125" style="23" customWidth="1"/>
    <col min="16" max="17" width="7.7109375" style="23" customWidth="1"/>
    <col min="18" max="18" width="6.7109375" style="23" customWidth="1"/>
    <col min="19" max="21" width="7.28125" style="23" customWidth="1"/>
    <col min="22" max="22" width="6.7109375" style="23" customWidth="1"/>
    <col min="23" max="26" width="7.28125" style="23" customWidth="1"/>
    <col min="27" max="16384" width="9.140625" style="23" customWidth="1"/>
  </cols>
  <sheetData>
    <row r="1" spans="1:25" ht="19.5" customHeight="1">
      <c r="A1" s="560"/>
      <c r="B1" s="560"/>
      <c r="C1" s="583"/>
      <c r="D1" s="583"/>
      <c r="E1" s="583"/>
      <c r="F1" s="583"/>
      <c r="G1" s="568" t="str">
        <f>Чорн!G1</f>
        <v>Розрахунково-платіжна відомість № </v>
      </c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285">
        <f>Чорн!R1</f>
        <v>3</v>
      </c>
      <c r="S1" s="242"/>
      <c r="T1" s="27"/>
      <c r="U1" s="27"/>
      <c r="V1" s="220"/>
      <c r="W1" s="563"/>
      <c r="X1" s="563"/>
      <c r="Y1" s="564"/>
    </row>
    <row r="2" spans="1:26" s="340" customFormat="1" ht="19.5" customHeight="1">
      <c r="A2" s="560"/>
      <c r="B2" s="560"/>
      <c r="C2" s="583"/>
      <c r="D2" s="583"/>
      <c r="E2" s="583"/>
      <c r="F2" s="583"/>
      <c r="G2" s="502" t="str">
        <f>Чорн!G2</f>
        <v>нарахування заробітної плати  працівникам Енецької сільської ради</v>
      </c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234"/>
      <c r="W2" s="234"/>
      <c r="X2" s="234"/>
      <c r="Y2" s="234"/>
      <c r="Z2" s="234"/>
    </row>
    <row r="3" spans="1:26" ht="19.5" customHeight="1">
      <c r="A3" s="502"/>
      <c r="B3" s="502"/>
      <c r="C3" s="607"/>
      <c r="D3" s="607"/>
      <c r="E3" s="608"/>
      <c r="F3" s="608"/>
      <c r="J3" s="29"/>
      <c r="K3" s="29"/>
      <c r="L3" s="30" t="s">
        <v>11</v>
      </c>
      <c r="M3" s="513" t="str">
        <f>IF($R$1&lt;7,Дані!A21,Дані!A22)</f>
        <v>березень</v>
      </c>
      <c r="N3" s="513"/>
      <c r="O3" s="513"/>
      <c r="P3" s="31">
        <f>Чорн!P3</f>
        <v>2013</v>
      </c>
      <c r="Q3" s="31" t="s">
        <v>37</v>
      </c>
      <c r="R3" s="31"/>
      <c r="S3" s="32"/>
      <c r="T3" s="32"/>
      <c r="U3" s="516"/>
      <c r="V3" s="516"/>
      <c r="W3" s="516"/>
      <c r="X3" s="516"/>
      <c r="Y3" s="516"/>
      <c r="Z3" s="33"/>
    </row>
    <row r="4" spans="1:26" ht="19.5" customHeight="1">
      <c r="A4" s="504" t="s">
        <v>38</v>
      </c>
      <c r="B4" s="504"/>
      <c r="C4" s="505"/>
      <c r="D4" s="305">
        <f>Чорн!D4</f>
        <v>20</v>
      </c>
      <c r="E4" s="32"/>
      <c r="F4" s="588"/>
      <c r="G4" s="588"/>
      <c r="H4" s="588"/>
      <c r="I4" s="588"/>
      <c r="J4" s="588"/>
      <c r="K4" s="255"/>
      <c r="L4" s="32"/>
      <c r="M4" s="588"/>
      <c r="N4" s="588"/>
      <c r="O4" s="588"/>
      <c r="P4" s="255"/>
      <c r="Q4" s="206"/>
      <c r="R4" s="589"/>
      <c r="S4" s="589"/>
      <c r="T4" s="589"/>
      <c r="U4" s="589"/>
      <c r="V4" s="597"/>
      <c r="W4" s="597"/>
      <c r="X4" s="255"/>
      <c r="Y4" s="199"/>
      <c r="Z4" s="207"/>
    </row>
    <row r="5" spans="1:27" s="220" customFormat="1" ht="19.5" customHeight="1">
      <c r="A5" s="609" t="str">
        <f>Чорн!A5</f>
        <v>№ п/п </v>
      </c>
      <c r="B5" s="609" t="str">
        <f>Чорн!B5</f>
        <v>Посада</v>
      </c>
      <c r="C5" s="609" t="str">
        <f>Чорн!C5</f>
        <v>П. І. Б.</v>
      </c>
      <c r="D5" s="609" t="str">
        <f>Чорн!D5</f>
        <v>к-ть відпр. днів</v>
      </c>
      <c r="E5" s="596" t="str">
        <f>Чорн!E5</f>
        <v>Нараховано</v>
      </c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5" t="str">
        <f>Чорн!Q5</f>
        <v>всього</v>
      </c>
      <c r="R5" s="582" t="str">
        <f>Чорн!R5</f>
        <v>Утримано</v>
      </c>
      <c r="S5" s="582"/>
      <c r="T5" s="582"/>
      <c r="U5" s="582"/>
      <c r="V5" s="582"/>
      <c r="W5" s="582"/>
      <c r="X5" s="582"/>
      <c r="Y5" s="582"/>
      <c r="Z5" s="510" t="str">
        <f>Чорн!Z5</f>
        <v>Сума   до перерах- ня</v>
      </c>
      <c r="AA5" s="341"/>
    </row>
    <row r="6" spans="1:27" s="220" customFormat="1" ht="21" customHeight="1">
      <c r="A6" s="610"/>
      <c r="B6" s="610"/>
      <c r="C6" s="610"/>
      <c r="D6" s="610"/>
      <c r="E6" s="575" t="str">
        <f>Чорн!E6</f>
        <v>посадовий оклад</v>
      </c>
      <c r="F6" s="575" t="str">
        <f>Чорн!F6</f>
        <v>доплата за ранг</v>
      </c>
      <c r="G6" s="575" t="str">
        <f>Чорн!G6</f>
        <v>надбавка за вислугу років </v>
      </c>
      <c r="H6" s="575">
        <f>Чорн!H6</f>
        <v>0</v>
      </c>
      <c r="I6" s="598" t="str">
        <f>Чорн!I6</f>
        <v>лист непрацезд.</v>
      </c>
      <c r="J6" s="599"/>
      <c r="K6" s="575" t="str">
        <f>Чорн!K6</f>
        <v>відпускні</v>
      </c>
      <c r="L6" s="575" t="str">
        <f>Чорн!L6</f>
        <v>індексація за      03 місяць</v>
      </c>
      <c r="M6" s="575" t="str">
        <f>Чорн!M6</f>
        <v>допомога на оздоровлення</v>
      </c>
      <c r="N6" s="575" t="str">
        <f>Чорн!N6</f>
        <v>мат. допомога на вирішення соц питань</v>
      </c>
      <c r="O6" s="575" t="str">
        <f>Чорн!O6</f>
        <v>премія      за  02    місяць</v>
      </c>
      <c r="P6" s="575">
        <f>Чорн!P6</f>
        <v>0</v>
      </c>
      <c r="Q6" s="595"/>
      <c r="R6" s="575" t="str">
        <f>Чорн!R6</f>
        <v>за 1 половину місяця</v>
      </c>
      <c r="S6" s="575" t="str">
        <f>Чорн!S6</f>
        <v>прибутковий            податок</v>
      </c>
      <c r="T6" s="575" t="str">
        <f>Чорн!T6</f>
        <v>ЄСВ 6,1%</v>
      </c>
      <c r="U6" s="575" t="str">
        <f>Чорн!U6</f>
        <v>ЄСВ 3,6%</v>
      </c>
      <c r="V6" s="575" t="str">
        <f>Чорн!V6</f>
        <v>ЄСВ 2,0%</v>
      </c>
      <c r="W6" s="575" t="str">
        <f>Чорн!W6</f>
        <v>профвнески</v>
      </c>
      <c r="X6" s="575">
        <f>Чорн!X6</f>
        <v>0</v>
      </c>
      <c r="Y6" s="575" t="str">
        <f>Чорн!Y6</f>
        <v>всього утримано</v>
      </c>
      <c r="Z6" s="511"/>
      <c r="AA6" s="341"/>
    </row>
    <row r="7" spans="1:26" ht="45.75" customHeight="1">
      <c r="A7" s="611"/>
      <c r="B7" s="611"/>
      <c r="C7" s="611"/>
      <c r="D7" s="611"/>
      <c r="E7" s="575"/>
      <c r="F7" s="575"/>
      <c r="G7" s="575"/>
      <c r="H7" s="575"/>
      <c r="I7" s="306" t="str">
        <f>Чорн!I7</f>
        <v>підприємство</v>
      </c>
      <c r="J7" s="306" t="str">
        <f>Чорн!J7</f>
        <v>фонд</v>
      </c>
      <c r="K7" s="575"/>
      <c r="L7" s="575"/>
      <c r="M7" s="575"/>
      <c r="N7" s="575"/>
      <c r="O7" s="575"/>
      <c r="P7" s="575"/>
      <c r="Q7" s="595"/>
      <c r="R7" s="575"/>
      <c r="S7" s="575"/>
      <c r="T7" s="575"/>
      <c r="U7" s="575"/>
      <c r="V7" s="575"/>
      <c r="W7" s="575"/>
      <c r="X7" s="575"/>
      <c r="Y7" s="575"/>
      <c r="Z7" s="512"/>
    </row>
    <row r="8" spans="1:26" ht="19.5" customHeight="1">
      <c r="A8" s="35">
        <v>1</v>
      </c>
      <c r="B8" s="308">
        <f>Чорн!B8</f>
        <v>0</v>
      </c>
      <c r="C8" s="308">
        <f>Чорн!C8</f>
        <v>0</v>
      </c>
      <c r="D8" s="307">
        <f>Чорн!D8</f>
        <v>20</v>
      </c>
      <c r="E8" s="287"/>
      <c r="F8" s="287"/>
      <c r="G8" s="287"/>
      <c r="H8" s="287"/>
      <c r="I8" s="287"/>
      <c r="J8" s="287"/>
      <c r="K8" s="288"/>
      <c r="L8" s="287"/>
      <c r="M8" s="287"/>
      <c r="N8" s="287"/>
      <c r="O8" s="287"/>
      <c r="P8" s="287"/>
      <c r="Q8" s="188">
        <f aca="true" t="shared" si="0" ref="Q8:Q15">SUM(E8:P8)</f>
        <v>0</v>
      </c>
      <c r="R8" s="287"/>
      <c r="S8" s="287"/>
      <c r="T8" s="287"/>
      <c r="U8" s="287"/>
      <c r="V8" s="287"/>
      <c r="W8" s="287"/>
      <c r="X8" s="287"/>
      <c r="Y8" s="181">
        <f aca="true" t="shared" si="1" ref="Y8:Y15">SUM(R8:W8)</f>
        <v>0</v>
      </c>
      <c r="Z8" s="188">
        <f aca="true" t="shared" si="2" ref="Z8:Z15">Q8-Y8</f>
        <v>0</v>
      </c>
    </row>
    <row r="9" spans="1:26" ht="19.5" customHeight="1">
      <c r="A9" s="35">
        <v>2</v>
      </c>
      <c r="B9" s="308">
        <f>Чорн!B9</f>
        <v>0</v>
      </c>
      <c r="C9" s="308">
        <f>Чорн!C9</f>
        <v>0</v>
      </c>
      <c r="D9" s="307">
        <f>Чорн!D9</f>
        <v>0</v>
      </c>
      <c r="E9" s="287"/>
      <c r="F9" s="287"/>
      <c r="G9" s="287"/>
      <c r="H9" s="287"/>
      <c r="I9" s="287"/>
      <c r="J9" s="287"/>
      <c r="K9" s="288"/>
      <c r="L9" s="287"/>
      <c r="M9" s="287"/>
      <c r="N9" s="287"/>
      <c r="O9" s="287"/>
      <c r="P9" s="287"/>
      <c r="Q9" s="188">
        <f t="shared" si="0"/>
        <v>0</v>
      </c>
      <c r="R9" s="287"/>
      <c r="S9" s="287"/>
      <c r="T9" s="287"/>
      <c r="U9" s="287"/>
      <c r="V9" s="287"/>
      <c r="W9" s="287"/>
      <c r="X9" s="287"/>
      <c r="Y9" s="181">
        <f t="shared" si="1"/>
        <v>0</v>
      </c>
      <c r="Z9" s="188">
        <f t="shared" si="2"/>
        <v>0</v>
      </c>
    </row>
    <row r="10" spans="1:26" ht="19.5" customHeight="1">
      <c r="A10" s="35">
        <v>3</v>
      </c>
      <c r="B10" s="308">
        <f>Чорн!B10</f>
        <v>0</v>
      </c>
      <c r="C10" s="308">
        <f>Чорн!C10</f>
        <v>0</v>
      </c>
      <c r="D10" s="307">
        <f>Чорн!D10</f>
        <v>0</v>
      </c>
      <c r="E10" s="287"/>
      <c r="F10" s="287"/>
      <c r="G10" s="287"/>
      <c r="H10" s="287"/>
      <c r="I10" s="287"/>
      <c r="J10" s="287"/>
      <c r="K10" s="288"/>
      <c r="L10" s="287"/>
      <c r="M10" s="287"/>
      <c r="N10" s="287"/>
      <c r="O10" s="287"/>
      <c r="P10" s="287"/>
      <c r="Q10" s="188">
        <f t="shared" si="0"/>
        <v>0</v>
      </c>
      <c r="R10" s="287"/>
      <c r="S10" s="287"/>
      <c r="T10" s="287"/>
      <c r="U10" s="287"/>
      <c r="V10" s="287"/>
      <c r="W10" s="287"/>
      <c r="X10" s="287"/>
      <c r="Y10" s="181">
        <f t="shared" si="1"/>
        <v>0</v>
      </c>
      <c r="Z10" s="188">
        <f t="shared" si="2"/>
        <v>0</v>
      </c>
    </row>
    <row r="11" spans="1:27" ht="19.5" customHeight="1">
      <c r="A11" s="35">
        <v>4</v>
      </c>
      <c r="B11" s="308">
        <f>Чорн!B11</f>
        <v>0</v>
      </c>
      <c r="C11" s="308">
        <f>Чорн!C11</f>
        <v>0</v>
      </c>
      <c r="D11" s="307">
        <f>Чорн!D11</f>
        <v>0</v>
      </c>
      <c r="E11" s="287"/>
      <c r="F11" s="287"/>
      <c r="G11" s="287"/>
      <c r="H11" s="287"/>
      <c r="I11" s="287"/>
      <c r="J11" s="287"/>
      <c r="K11" s="288"/>
      <c r="L11" s="287"/>
      <c r="M11" s="287"/>
      <c r="N11" s="287"/>
      <c r="O11" s="287"/>
      <c r="P11" s="287"/>
      <c r="Q11" s="188">
        <f t="shared" si="0"/>
        <v>0</v>
      </c>
      <c r="R11" s="287"/>
      <c r="S11" s="287"/>
      <c r="T11" s="287"/>
      <c r="U11" s="287"/>
      <c r="V11" s="287"/>
      <c r="W11" s="287"/>
      <c r="X11" s="287"/>
      <c r="Y11" s="181">
        <f t="shared" si="1"/>
        <v>0</v>
      </c>
      <c r="Z11" s="188">
        <f t="shared" si="2"/>
        <v>0</v>
      </c>
      <c r="AA11" s="342"/>
    </row>
    <row r="12" spans="1:27" ht="19.5" customHeight="1">
      <c r="A12" s="35">
        <v>5</v>
      </c>
      <c r="B12" s="308">
        <f>Чорн!B12</f>
        <v>0</v>
      </c>
      <c r="C12" s="308">
        <f>Чорн!C12</f>
        <v>0</v>
      </c>
      <c r="D12" s="307">
        <f>Чорн!D12</f>
        <v>0</v>
      </c>
      <c r="E12" s="287"/>
      <c r="F12" s="287"/>
      <c r="G12" s="287"/>
      <c r="H12" s="287"/>
      <c r="I12" s="287"/>
      <c r="J12" s="287"/>
      <c r="K12" s="288"/>
      <c r="L12" s="287"/>
      <c r="M12" s="287"/>
      <c r="N12" s="287"/>
      <c r="O12" s="287"/>
      <c r="P12" s="287"/>
      <c r="Q12" s="188">
        <f t="shared" si="0"/>
        <v>0</v>
      </c>
      <c r="R12" s="287"/>
      <c r="S12" s="287"/>
      <c r="T12" s="287"/>
      <c r="U12" s="287"/>
      <c r="V12" s="287"/>
      <c r="W12" s="287"/>
      <c r="X12" s="287"/>
      <c r="Y12" s="181">
        <f t="shared" si="1"/>
        <v>0</v>
      </c>
      <c r="Z12" s="188">
        <f t="shared" si="2"/>
        <v>0</v>
      </c>
      <c r="AA12" s="342"/>
    </row>
    <row r="13" spans="1:27" ht="19.5" customHeight="1">
      <c r="A13" s="35">
        <v>6</v>
      </c>
      <c r="B13" s="308">
        <f>Чорн!B13</f>
        <v>0</v>
      </c>
      <c r="C13" s="308">
        <f>Чорн!C13</f>
        <v>0</v>
      </c>
      <c r="D13" s="307">
        <f>Чорн!D13</f>
        <v>0</v>
      </c>
      <c r="E13" s="287"/>
      <c r="F13" s="287"/>
      <c r="G13" s="287"/>
      <c r="H13" s="287"/>
      <c r="I13" s="287"/>
      <c r="J13" s="287"/>
      <c r="K13" s="288"/>
      <c r="L13" s="287"/>
      <c r="M13" s="287"/>
      <c r="N13" s="287"/>
      <c r="O13" s="287"/>
      <c r="P13" s="287"/>
      <c r="Q13" s="188">
        <f t="shared" si="0"/>
        <v>0</v>
      </c>
      <c r="R13" s="287"/>
      <c r="S13" s="287"/>
      <c r="T13" s="287"/>
      <c r="U13" s="287"/>
      <c r="V13" s="287"/>
      <c r="W13" s="287"/>
      <c r="X13" s="287"/>
      <c r="Y13" s="181">
        <f t="shared" si="1"/>
        <v>0</v>
      </c>
      <c r="Z13" s="188">
        <f t="shared" si="2"/>
        <v>0</v>
      </c>
      <c r="AA13" s="342"/>
    </row>
    <row r="14" spans="1:27" ht="19.5" customHeight="1">
      <c r="A14" s="35">
        <v>7</v>
      </c>
      <c r="B14" s="308">
        <f>Чорн!B14</f>
        <v>0</v>
      </c>
      <c r="C14" s="308">
        <f>Чорн!C14</f>
        <v>0</v>
      </c>
      <c r="D14" s="307">
        <f>Чорн!D14</f>
        <v>0</v>
      </c>
      <c r="E14" s="287"/>
      <c r="F14" s="287"/>
      <c r="G14" s="287"/>
      <c r="H14" s="287"/>
      <c r="I14" s="287"/>
      <c r="J14" s="287"/>
      <c r="K14" s="288"/>
      <c r="L14" s="287"/>
      <c r="M14" s="287"/>
      <c r="N14" s="287"/>
      <c r="O14" s="287"/>
      <c r="P14" s="287"/>
      <c r="Q14" s="188">
        <f t="shared" si="0"/>
        <v>0</v>
      </c>
      <c r="R14" s="287"/>
      <c r="S14" s="287"/>
      <c r="T14" s="287"/>
      <c r="U14" s="287"/>
      <c r="V14" s="287"/>
      <c r="W14" s="287"/>
      <c r="X14" s="287"/>
      <c r="Y14" s="181">
        <f t="shared" si="1"/>
        <v>0</v>
      </c>
      <c r="Z14" s="188">
        <f t="shared" si="2"/>
        <v>0</v>
      </c>
      <c r="AA14" s="342"/>
    </row>
    <row r="15" spans="1:27" ht="19.5" customHeight="1">
      <c r="A15" s="35">
        <v>8</v>
      </c>
      <c r="B15" s="308">
        <f>Чорн!B15</f>
        <v>0</v>
      </c>
      <c r="C15" s="308">
        <f>Чорн!C15</f>
        <v>0</v>
      </c>
      <c r="D15" s="307">
        <f>Чорн!D15</f>
        <v>0</v>
      </c>
      <c r="E15" s="287"/>
      <c r="F15" s="287"/>
      <c r="G15" s="287"/>
      <c r="H15" s="287"/>
      <c r="I15" s="287"/>
      <c r="J15" s="287"/>
      <c r="K15" s="288"/>
      <c r="L15" s="287"/>
      <c r="M15" s="287"/>
      <c r="N15" s="287"/>
      <c r="O15" s="287"/>
      <c r="P15" s="287"/>
      <c r="Q15" s="188">
        <f t="shared" si="0"/>
        <v>0</v>
      </c>
      <c r="R15" s="287"/>
      <c r="S15" s="287"/>
      <c r="T15" s="287"/>
      <c r="U15" s="287"/>
      <c r="V15" s="287"/>
      <c r="W15" s="287"/>
      <c r="X15" s="287"/>
      <c r="Y15" s="181">
        <f t="shared" si="1"/>
        <v>0</v>
      </c>
      <c r="Z15" s="188">
        <f t="shared" si="2"/>
        <v>0</v>
      </c>
      <c r="AA15" s="342"/>
    </row>
    <row r="16" spans="1:27" ht="19.5" customHeight="1">
      <c r="A16" s="35">
        <v>9</v>
      </c>
      <c r="B16" s="308">
        <f>Чорн!B16</f>
        <v>0</v>
      </c>
      <c r="C16" s="308">
        <f>Чорн!C16</f>
        <v>0</v>
      </c>
      <c r="D16" s="307">
        <f>Чорн!D16</f>
        <v>0</v>
      </c>
      <c r="E16" s="287"/>
      <c r="F16" s="287"/>
      <c r="G16" s="287"/>
      <c r="H16" s="287"/>
      <c r="I16" s="287"/>
      <c r="J16" s="287"/>
      <c r="K16" s="288"/>
      <c r="L16" s="287"/>
      <c r="M16" s="287"/>
      <c r="N16" s="287"/>
      <c r="O16" s="287"/>
      <c r="P16" s="287"/>
      <c r="Q16" s="188">
        <f aca="true" t="shared" si="3" ref="Q16:Q22">SUM(E16:P16)</f>
        <v>0</v>
      </c>
      <c r="R16" s="287"/>
      <c r="S16" s="287"/>
      <c r="T16" s="287"/>
      <c r="U16" s="287"/>
      <c r="V16" s="287"/>
      <c r="W16" s="287"/>
      <c r="X16" s="287"/>
      <c r="Y16" s="181">
        <f aca="true" t="shared" si="4" ref="Y16:Y22">SUM(R16:W16)</f>
        <v>0</v>
      </c>
      <c r="Z16" s="188">
        <f aca="true" t="shared" si="5" ref="Z16:Z22">Q16-Y16</f>
        <v>0</v>
      </c>
      <c r="AA16" s="342"/>
    </row>
    <row r="17" spans="1:27" ht="19.5" customHeight="1">
      <c r="A17" s="35">
        <v>10</v>
      </c>
      <c r="B17" s="308">
        <f>Чорн!B17</f>
        <v>0</v>
      </c>
      <c r="C17" s="308">
        <f>Чорн!C17</f>
        <v>0</v>
      </c>
      <c r="D17" s="307">
        <f>Чорн!D17</f>
        <v>0</v>
      </c>
      <c r="E17" s="287"/>
      <c r="F17" s="287"/>
      <c r="G17" s="287"/>
      <c r="H17" s="287"/>
      <c r="I17" s="287"/>
      <c r="J17" s="287"/>
      <c r="K17" s="288"/>
      <c r="L17" s="287"/>
      <c r="M17" s="287"/>
      <c r="N17" s="287"/>
      <c r="O17" s="287"/>
      <c r="P17" s="287"/>
      <c r="Q17" s="188">
        <f t="shared" si="3"/>
        <v>0</v>
      </c>
      <c r="R17" s="287"/>
      <c r="S17" s="287"/>
      <c r="T17" s="287"/>
      <c r="U17" s="287"/>
      <c r="V17" s="287"/>
      <c r="W17" s="287"/>
      <c r="X17" s="287"/>
      <c r="Y17" s="181">
        <f t="shared" si="4"/>
        <v>0</v>
      </c>
      <c r="Z17" s="188">
        <f t="shared" si="5"/>
        <v>0</v>
      </c>
      <c r="AA17" s="342"/>
    </row>
    <row r="18" spans="1:27" ht="19.5" customHeight="1">
      <c r="A18" s="35">
        <v>11</v>
      </c>
      <c r="B18" s="308">
        <f>Чорн!B18</f>
        <v>0</v>
      </c>
      <c r="C18" s="308">
        <f>Чорн!C18</f>
        <v>0</v>
      </c>
      <c r="D18" s="307">
        <f>Чорн!D18</f>
        <v>0</v>
      </c>
      <c r="E18" s="287"/>
      <c r="F18" s="287"/>
      <c r="G18" s="287"/>
      <c r="H18" s="287"/>
      <c r="I18" s="287"/>
      <c r="J18" s="287"/>
      <c r="K18" s="288"/>
      <c r="L18" s="287"/>
      <c r="M18" s="287"/>
      <c r="N18" s="287"/>
      <c r="O18" s="287"/>
      <c r="P18" s="287"/>
      <c r="Q18" s="188">
        <f t="shared" si="3"/>
        <v>0</v>
      </c>
      <c r="R18" s="287"/>
      <c r="S18" s="287"/>
      <c r="T18" s="287"/>
      <c r="U18" s="287"/>
      <c r="V18" s="287"/>
      <c r="W18" s="287"/>
      <c r="X18" s="287"/>
      <c r="Y18" s="181">
        <f t="shared" si="4"/>
        <v>0</v>
      </c>
      <c r="Z18" s="188">
        <f t="shared" si="5"/>
        <v>0</v>
      </c>
      <c r="AA18" s="342"/>
    </row>
    <row r="19" spans="1:27" ht="19.5" customHeight="1">
      <c r="A19" s="35">
        <v>12</v>
      </c>
      <c r="B19" s="308">
        <f>Чорн!B19</f>
        <v>0</v>
      </c>
      <c r="C19" s="308">
        <f>Чорн!C19</f>
        <v>0</v>
      </c>
      <c r="D19" s="307">
        <f>Чорн!D19</f>
        <v>0</v>
      </c>
      <c r="E19" s="287"/>
      <c r="F19" s="287"/>
      <c r="G19" s="287"/>
      <c r="H19" s="287"/>
      <c r="I19" s="287"/>
      <c r="J19" s="287"/>
      <c r="K19" s="288"/>
      <c r="L19" s="287"/>
      <c r="M19" s="287"/>
      <c r="N19" s="287"/>
      <c r="O19" s="287"/>
      <c r="P19" s="287"/>
      <c r="Q19" s="188">
        <f t="shared" si="3"/>
        <v>0</v>
      </c>
      <c r="R19" s="287"/>
      <c r="S19" s="287"/>
      <c r="T19" s="287"/>
      <c r="U19" s="287"/>
      <c r="V19" s="287"/>
      <c r="W19" s="287"/>
      <c r="X19" s="287"/>
      <c r="Y19" s="181">
        <f t="shared" si="4"/>
        <v>0</v>
      </c>
      <c r="Z19" s="188">
        <f t="shared" si="5"/>
        <v>0</v>
      </c>
      <c r="AA19" s="342"/>
    </row>
    <row r="20" spans="1:27" ht="19.5" customHeight="1">
      <c r="A20" s="35">
        <v>13</v>
      </c>
      <c r="B20" s="308">
        <f>Чорн!B20</f>
        <v>0</v>
      </c>
      <c r="C20" s="308">
        <f>Чорн!C20</f>
        <v>0</v>
      </c>
      <c r="D20" s="307">
        <f>Чорн!D20</f>
        <v>0</v>
      </c>
      <c r="E20" s="287"/>
      <c r="F20" s="287"/>
      <c r="G20" s="287"/>
      <c r="H20" s="287"/>
      <c r="I20" s="287"/>
      <c r="J20" s="287"/>
      <c r="K20" s="288"/>
      <c r="L20" s="287"/>
      <c r="M20" s="287"/>
      <c r="N20" s="287"/>
      <c r="O20" s="287"/>
      <c r="P20" s="287"/>
      <c r="Q20" s="188">
        <f t="shared" si="3"/>
        <v>0</v>
      </c>
      <c r="R20" s="287"/>
      <c r="S20" s="287"/>
      <c r="T20" s="287"/>
      <c r="U20" s="287"/>
      <c r="V20" s="287"/>
      <c r="W20" s="287"/>
      <c r="X20" s="287"/>
      <c r="Y20" s="181">
        <f t="shared" si="4"/>
        <v>0</v>
      </c>
      <c r="Z20" s="188">
        <f t="shared" si="5"/>
        <v>0</v>
      </c>
      <c r="AA20" s="342"/>
    </row>
    <row r="21" spans="1:27" ht="19.5" customHeight="1">
      <c r="A21" s="35">
        <v>14</v>
      </c>
      <c r="B21" s="308">
        <f>Чорн!B21</f>
        <v>0</v>
      </c>
      <c r="C21" s="308">
        <f>Чорн!C21</f>
        <v>0</v>
      </c>
      <c r="D21" s="307">
        <f>Чорн!D21</f>
        <v>0</v>
      </c>
      <c r="E21" s="287"/>
      <c r="F21" s="287"/>
      <c r="G21" s="287"/>
      <c r="H21" s="287"/>
      <c r="I21" s="287"/>
      <c r="J21" s="287"/>
      <c r="K21" s="288"/>
      <c r="L21" s="287"/>
      <c r="M21" s="287"/>
      <c r="N21" s="287"/>
      <c r="O21" s="287"/>
      <c r="P21" s="287"/>
      <c r="Q21" s="188">
        <f t="shared" si="3"/>
        <v>0</v>
      </c>
      <c r="R21" s="287"/>
      <c r="S21" s="287"/>
      <c r="T21" s="287"/>
      <c r="U21" s="287"/>
      <c r="V21" s="287"/>
      <c r="W21" s="287"/>
      <c r="X21" s="287"/>
      <c r="Y21" s="181">
        <f t="shared" si="4"/>
        <v>0</v>
      </c>
      <c r="Z21" s="188">
        <f t="shared" si="5"/>
        <v>0</v>
      </c>
      <c r="AA21" s="342"/>
    </row>
    <row r="22" spans="1:27" ht="19.5" customHeight="1">
      <c r="A22" s="35">
        <v>15</v>
      </c>
      <c r="B22" s="308">
        <f>Чорн!B22</f>
        <v>0</v>
      </c>
      <c r="C22" s="308">
        <f>Чорн!C22</f>
        <v>0</v>
      </c>
      <c r="D22" s="307">
        <f>Чорн!D22</f>
        <v>0</v>
      </c>
      <c r="E22" s="287"/>
      <c r="F22" s="287"/>
      <c r="G22" s="287"/>
      <c r="H22" s="287"/>
      <c r="I22" s="287"/>
      <c r="J22" s="287"/>
      <c r="K22" s="288"/>
      <c r="L22" s="287"/>
      <c r="M22" s="287"/>
      <c r="N22" s="287"/>
      <c r="O22" s="287"/>
      <c r="P22" s="287"/>
      <c r="Q22" s="188">
        <f t="shared" si="3"/>
        <v>0</v>
      </c>
      <c r="R22" s="287"/>
      <c r="S22" s="287"/>
      <c r="T22" s="287"/>
      <c r="U22" s="287"/>
      <c r="V22" s="287"/>
      <c r="W22" s="287"/>
      <c r="X22" s="287"/>
      <c r="Y22" s="181">
        <f t="shared" si="4"/>
        <v>0</v>
      </c>
      <c r="Z22" s="188">
        <f t="shared" si="5"/>
        <v>0</v>
      </c>
      <c r="AA22" s="342"/>
    </row>
    <row r="23" spans="1:26" ht="19.5" customHeight="1">
      <c r="A23" s="534" t="s">
        <v>10</v>
      </c>
      <c r="B23" s="535"/>
      <c r="C23" s="536"/>
      <c r="D23" s="37"/>
      <c r="E23" s="181">
        <f>SUM(E8:E22)</f>
        <v>0</v>
      </c>
      <c r="F23" s="181">
        <f>SUM(F8:F22)</f>
        <v>0</v>
      </c>
      <c r="G23" s="181">
        <f>SUM(G8:G22)</f>
        <v>0</v>
      </c>
      <c r="H23" s="181">
        <f>SUM(H8:H22)</f>
        <v>0</v>
      </c>
      <c r="I23" s="181">
        <f>SUM(I8:I22)</f>
        <v>0</v>
      </c>
      <c r="J23" s="181">
        <f aca="true" t="shared" si="6" ref="J23:R23">SUM(J8:J22)</f>
        <v>0</v>
      </c>
      <c r="K23" s="181">
        <f t="shared" si="6"/>
        <v>0</v>
      </c>
      <c r="L23" s="181">
        <f t="shared" si="6"/>
        <v>0</v>
      </c>
      <c r="M23" s="181">
        <f t="shared" si="6"/>
        <v>0</v>
      </c>
      <c r="N23" s="181">
        <f t="shared" si="6"/>
        <v>0</v>
      </c>
      <c r="O23" s="181">
        <f t="shared" si="6"/>
        <v>0</v>
      </c>
      <c r="P23" s="181">
        <f t="shared" si="6"/>
        <v>0</v>
      </c>
      <c r="Q23" s="181">
        <f t="shared" si="6"/>
        <v>0</v>
      </c>
      <c r="R23" s="181">
        <f t="shared" si="6"/>
        <v>0</v>
      </c>
      <c r="S23" s="181">
        <f>SUM(S8:S22)</f>
        <v>0</v>
      </c>
      <c r="T23" s="181">
        <f aca="true" t="shared" si="7" ref="T23:Y23">SUM(T8:T22)</f>
        <v>0</v>
      </c>
      <c r="U23" s="181">
        <f t="shared" si="7"/>
        <v>0</v>
      </c>
      <c r="V23" s="181">
        <f t="shared" si="7"/>
        <v>0</v>
      </c>
      <c r="W23" s="181">
        <f t="shared" si="7"/>
        <v>0</v>
      </c>
      <c r="X23" s="181">
        <f t="shared" si="7"/>
        <v>0</v>
      </c>
      <c r="Y23" s="181">
        <f t="shared" si="7"/>
        <v>0</v>
      </c>
      <c r="Z23" s="181">
        <f>SUM(Z8:Z22)</f>
        <v>0</v>
      </c>
    </row>
    <row r="24" spans="1:26" ht="6.75" customHeight="1">
      <c r="A24" s="29"/>
      <c r="B24" s="29"/>
      <c r="C24" s="29"/>
      <c r="D24" s="29"/>
      <c r="E24" s="38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29"/>
      <c r="Y24" s="29"/>
      <c r="Z24" s="29"/>
    </row>
    <row r="25" spans="1:23" ht="15" customHeight="1" hidden="1">
      <c r="A25" s="594"/>
      <c r="B25" s="594"/>
      <c r="C25" s="380"/>
      <c r="D25" s="594"/>
      <c r="E25" s="594"/>
      <c r="F25" s="594"/>
      <c r="G25" s="591"/>
      <c r="H25" s="591"/>
      <c r="I25" s="223"/>
      <c r="J25" s="223"/>
      <c r="K25" s="223"/>
      <c r="L25" s="41"/>
      <c r="M25" s="587"/>
      <c r="N25" s="587"/>
      <c r="O25" s="44"/>
      <c r="P25" s="590"/>
      <c r="Q25" s="586"/>
      <c r="R25" s="581"/>
      <c r="S25" s="581"/>
      <c r="T25" s="338"/>
      <c r="U25" s="338"/>
      <c r="V25" s="586"/>
      <c r="W25" s="580"/>
    </row>
    <row r="26" spans="1:23" ht="15" customHeight="1" hidden="1">
      <c r="A26" s="584"/>
      <c r="B26" s="584"/>
      <c r="C26" s="379"/>
      <c r="D26" s="585"/>
      <c r="E26" s="585"/>
      <c r="F26" s="378"/>
      <c r="G26" s="592"/>
      <c r="H26" s="592"/>
      <c r="I26" s="280"/>
      <c r="J26" s="343"/>
      <c r="K26" s="224"/>
      <c r="L26" s="41"/>
      <c r="M26" s="587"/>
      <c r="N26" s="587"/>
      <c r="O26" s="44"/>
      <c r="P26" s="590"/>
      <c r="Q26" s="586"/>
      <c r="R26" s="581"/>
      <c r="S26" s="581"/>
      <c r="T26" s="338"/>
      <c r="U26" s="338"/>
      <c r="V26" s="586"/>
      <c r="W26" s="580"/>
    </row>
    <row r="27" spans="1:23" s="220" customFormat="1" ht="15" customHeight="1" hidden="1">
      <c r="A27" s="584"/>
      <c r="B27" s="584"/>
      <c r="C27" s="379"/>
      <c r="D27" s="585"/>
      <c r="E27" s="585"/>
      <c r="F27" s="378"/>
      <c r="G27" s="592"/>
      <c r="H27" s="592"/>
      <c r="I27" s="286"/>
      <c r="J27" s="343"/>
      <c r="K27" s="224"/>
      <c r="L27" s="41"/>
      <c r="M27" s="179"/>
      <c r="N27" s="179"/>
      <c r="O27" s="179"/>
      <c r="P27" s="47"/>
      <c r="Q27" s="47"/>
      <c r="R27" s="191"/>
      <c r="S27" s="191"/>
      <c r="T27" s="210"/>
      <c r="U27" s="210"/>
      <c r="V27" s="208"/>
      <c r="W27" s="203"/>
    </row>
    <row r="28" spans="1:23" ht="15" customHeight="1" hidden="1">
      <c r="A28" s="584"/>
      <c r="B28" s="584"/>
      <c r="C28" s="379"/>
      <c r="D28" s="585"/>
      <c r="E28" s="585"/>
      <c r="F28" s="378"/>
      <c r="G28" s="592"/>
      <c r="H28" s="592"/>
      <c r="I28" s="280"/>
      <c r="J28" s="343"/>
      <c r="K28" s="224"/>
      <c r="L28" s="41"/>
      <c r="M28" s="606"/>
      <c r="N28" s="606"/>
      <c r="O28" s="179"/>
      <c r="P28" s="581"/>
      <c r="Q28" s="581"/>
      <c r="R28" s="586"/>
      <c r="S28" s="586"/>
      <c r="T28" s="210"/>
      <c r="U28" s="210"/>
      <c r="V28" s="208"/>
      <c r="W28" s="339"/>
    </row>
    <row r="29" spans="1:23" s="220" customFormat="1" ht="15" customHeight="1" hidden="1">
      <c r="A29" s="584"/>
      <c r="B29" s="584"/>
      <c r="C29" s="379"/>
      <c r="D29" s="585"/>
      <c r="E29" s="585"/>
      <c r="F29" s="378"/>
      <c r="G29" s="592"/>
      <c r="H29" s="592"/>
      <c r="I29" s="280"/>
      <c r="J29" s="343"/>
      <c r="K29" s="224"/>
      <c r="L29" s="41"/>
      <c r="M29" s="41"/>
      <c r="N29" s="283"/>
      <c r="O29" s="283"/>
      <c r="P29" s="178"/>
      <c r="Q29" s="178"/>
      <c r="R29" s="284"/>
      <c r="S29" s="284"/>
      <c r="T29" s="178"/>
      <c r="U29" s="178"/>
      <c r="V29" s="191"/>
      <c r="W29" s="192"/>
    </row>
    <row r="30" spans="1:23" ht="15" customHeight="1" hidden="1">
      <c r="A30" s="584"/>
      <c r="B30" s="584"/>
      <c r="C30" s="379"/>
      <c r="D30" s="585"/>
      <c r="E30" s="585"/>
      <c r="F30" s="378"/>
      <c r="G30" s="592"/>
      <c r="H30" s="592"/>
      <c r="I30" s="280"/>
      <c r="J30" s="343"/>
      <c r="K30" s="224"/>
      <c r="L30" s="41"/>
      <c r="M30" s="593"/>
      <c r="N30" s="593"/>
      <c r="O30" s="179"/>
      <c r="P30" s="581"/>
      <c r="Q30" s="581"/>
      <c r="R30" s="586"/>
      <c r="S30" s="586"/>
      <c r="T30" s="178"/>
      <c r="U30" s="178"/>
      <c r="V30" s="191"/>
      <c r="W30" s="203"/>
    </row>
    <row r="31" spans="1:23" ht="15" customHeight="1" hidden="1">
      <c r="A31" s="584"/>
      <c r="B31" s="584"/>
      <c r="C31" s="379"/>
      <c r="D31" s="585"/>
      <c r="E31" s="585"/>
      <c r="F31" s="378"/>
      <c r="G31" s="592"/>
      <c r="H31" s="592"/>
      <c r="I31" s="280"/>
      <c r="J31" s="343"/>
      <c r="K31" s="224"/>
      <c r="L31" s="41"/>
      <c r="M31" s="169"/>
      <c r="N31" s="169"/>
      <c r="O31" s="179"/>
      <c r="P31" s="47"/>
      <c r="Q31" s="47"/>
      <c r="R31" s="191"/>
      <c r="S31" s="191"/>
      <c r="T31" s="178"/>
      <c r="U31" s="178"/>
      <c r="V31" s="191"/>
      <c r="W31" s="203"/>
    </row>
    <row r="32" spans="1:23" ht="15" customHeight="1" hidden="1">
      <c r="A32" s="624"/>
      <c r="B32" s="624"/>
      <c r="C32" s="379"/>
      <c r="D32" s="625"/>
      <c r="E32" s="625"/>
      <c r="F32" s="378"/>
      <c r="G32" s="592"/>
      <c r="H32" s="592"/>
      <c r="I32" s="214"/>
      <c r="J32" s="190"/>
      <c r="K32" s="190"/>
      <c r="L32" s="41"/>
      <c r="M32" s="179"/>
      <c r="N32" s="179"/>
      <c r="O32" s="179"/>
      <c r="P32" s="47"/>
      <c r="Q32" s="47"/>
      <c r="R32" s="191"/>
      <c r="S32" s="191"/>
      <c r="T32" s="178"/>
      <c r="U32" s="178"/>
      <c r="V32" s="191"/>
      <c r="W32" s="203"/>
    </row>
    <row r="33" spans="1:23" ht="15" customHeight="1">
      <c r="A33" s="584"/>
      <c r="B33" s="584"/>
      <c r="C33" s="379"/>
      <c r="D33" s="585"/>
      <c r="E33" s="585"/>
      <c r="F33" s="378"/>
      <c r="G33" s="592"/>
      <c r="H33" s="592"/>
      <c r="I33" s="211"/>
      <c r="J33" s="212"/>
      <c r="K33" s="212"/>
      <c r="L33" s="41"/>
      <c r="M33" s="606"/>
      <c r="N33" s="606"/>
      <c r="O33" s="179"/>
      <c r="P33" s="581"/>
      <c r="Q33" s="581"/>
      <c r="R33" s="586"/>
      <c r="S33" s="586"/>
      <c r="T33" s="178"/>
      <c r="U33" s="178"/>
      <c r="V33" s="191"/>
      <c r="W33" s="203"/>
    </row>
    <row r="34" spans="1:23" ht="15" customHeight="1">
      <c r="A34" s="623"/>
      <c r="B34" s="623"/>
      <c r="C34" s="379"/>
      <c r="D34" s="585"/>
      <c r="E34" s="585"/>
      <c r="F34" s="378"/>
      <c r="G34" s="592"/>
      <c r="H34" s="592"/>
      <c r="I34" s="211"/>
      <c r="J34" s="212"/>
      <c r="K34" s="212"/>
      <c r="L34" s="41"/>
      <c r="M34" s="41"/>
      <c r="N34" s="283"/>
      <c r="O34" s="283"/>
      <c r="P34" s="178"/>
      <c r="Q34" s="178"/>
      <c r="R34" s="178"/>
      <c r="S34" s="178"/>
      <c r="T34" s="179"/>
      <c r="U34" s="179"/>
      <c r="V34" s="191"/>
      <c r="W34" s="192"/>
    </row>
    <row r="35" spans="1:26" ht="6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42"/>
      <c r="P35" s="42"/>
      <c r="Q35" s="46"/>
      <c r="R35" s="46"/>
      <c r="S35" s="46"/>
      <c r="T35" s="47"/>
      <c r="U35" s="47"/>
      <c r="V35" s="48"/>
      <c r="W35" s="44"/>
      <c r="X35" s="44"/>
      <c r="Y35" s="43"/>
      <c r="Z35" s="26"/>
    </row>
    <row r="36" spans="1:26" ht="19.5" customHeight="1" hidden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205"/>
      <c r="N36" s="205"/>
      <c r="O36" s="205"/>
      <c r="P36" s="205"/>
      <c r="Q36" s="205"/>
      <c r="R36" s="205"/>
      <c r="S36" s="205"/>
      <c r="T36" s="45"/>
      <c r="U36" s="45"/>
      <c r="V36" s="45"/>
      <c r="W36" s="205"/>
      <c r="X36" s="205"/>
      <c r="Y36" s="205"/>
      <c r="Z36" s="205"/>
    </row>
    <row r="37" spans="1:26" ht="19.5" customHeight="1">
      <c r="A37" s="428" t="s">
        <v>260</v>
      </c>
      <c r="B37" s="429"/>
      <c r="C37" s="429"/>
      <c r="D37" s="425"/>
      <c r="E37" s="428" t="s">
        <v>261</v>
      </c>
      <c r="F37" s="429"/>
      <c r="G37" s="429"/>
      <c r="H37" s="251"/>
      <c r="I37" s="252"/>
      <c r="J37" s="247" t="s">
        <v>325</v>
      </c>
      <c r="K37" s="247"/>
      <c r="L37" s="248"/>
      <c r="M37" s="422" t="s">
        <v>253</v>
      </c>
      <c r="N37" s="422"/>
      <c r="O37" s="422"/>
      <c r="P37" s="422" t="s">
        <v>295</v>
      </c>
      <c r="Q37" s="422"/>
      <c r="R37" s="422"/>
      <c r="S37" s="422"/>
      <c r="T37" s="616"/>
      <c r="U37" s="616"/>
      <c r="V37" s="616"/>
      <c r="W37" s="422"/>
      <c r="X37" s="422"/>
      <c r="Y37" s="422"/>
      <c r="Z37" s="422"/>
    </row>
    <row r="38" spans="1:26" ht="19.5" customHeight="1" thickBot="1">
      <c r="A38" s="102" t="s">
        <v>113</v>
      </c>
      <c r="B38" s="139"/>
      <c r="C38" s="601"/>
      <c r="D38" s="602"/>
      <c r="E38" s="290" t="s">
        <v>259</v>
      </c>
      <c r="F38" s="579"/>
      <c r="G38" s="579"/>
      <c r="H38" s="254"/>
      <c r="I38" s="253"/>
      <c r="J38" s="245" t="s">
        <v>113</v>
      </c>
      <c r="K38" s="579"/>
      <c r="L38" s="579"/>
      <c r="M38" s="137" t="s">
        <v>113</v>
      </c>
      <c r="N38" s="604"/>
      <c r="O38" s="605"/>
      <c r="P38" s="130" t="s">
        <v>167</v>
      </c>
      <c r="Q38" s="601"/>
      <c r="R38" s="602"/>
      <c r="S38" s="603"/>
      <c r="T38" s="600"/>
      <c r="U38" s="600"/>
      <c r="V38" s="600"/>
      <c r="W38" s="619"/>
      <c r="X38" s="620"/>
      <c r="Y38" s="620"/>
      <c r="Z38" s="621"/>
    </row>
    <row r="39" spans="1:26" ht="19.5" customHeight="1" thickBot="1">
      <c r="A39" s="572"/>
      <c r="B39" s="573"/>
      <c r="C39" s="573"/>
      <c r="D39" s="574"/>
      <c r="E39" s="622"/>
      <c r="F39" s="622"/>
      <c r="G39" s="622"/>
      <c r="H39" s="249"/>
      <c r="I39" s="250"/>
      <c r="J39" s="572"/>
      <c r="K39" s="573"/>
      <c r="L39" s="574"/>
      <c r="M39" s="576"/>
      <c r="N39" s="577"/>
      <c r="O39" s="578"/>
      <c r="P39" s="614"/>
      <c r="Q39" s="614"/>
      <c r="R39" s="615"/>
      <c r="S39" s="615"/>
      <c r="T39" s="617"/>
      <c r="U39" s="618"/>
      <c r="V39" s="618"/>
      <c r="W39" s="612"/>
      <c r="X39" s="612"/>
      <c r="Y39" s="612"/>
      <c r="Z39" s="613"/>
    </row>
    <row r="40" spans="1:26" ht="12.75">
      <c r="A40" s="344"/>
      <c r="B40" s="24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</row>
  </sheetData>
  <sheetProtection sheet="1" objects="1" scenarios="1" formatCells="0" selectLockedCells="1"/>
  <mergeCells count="110">
    <mergeCell ref="A33:B33"/>
    <mergeCell ref="D28:E28"/>
    <mergeCell ref="D29:E29"/>
    <mergeCell ref="D30:E30"/>
    <mergeCell ref="D31:E31"/>
    <mergeCell ref="A32:B32"/>
    <mergeCell ref="A30:B30"/>
    <mergeCell ref="A31:B31"/>
    <mergeCell ref="D32:E32"/>
    <mergeCell ref="A28:B28"/>
    <mergeCell ref="A39:D39"/>
    <mergeCell ref="E39:G39"/>
    <mergeCell ref="F38:G38"/>
    <mergeCell ref="A34:B34"/>
    <mergeCell ref="E37:G37"/>
    <mergeCell ref="C38:D38"/>
    <mergeCell ref="A37:D37"/>
    <mergeCell ref="D34:E34"/>
    <mergeCell ref="D33:E33"/>
    <mergeCell ref="G33:H33"/>
    <mergeCell ref="G34:H34"/>
    <mergeCell ref="W39:Z39"/>
    <mergeCell ref="P37:S37"/>
    <mergeCell ref="P39:S39"/>
    <mergeCell ref="T37:V37"/>
    <mergeCell ref="T39:V39"/>
    <mergeCell ref="W37:Z37"/>
    <mergeCell ref="W38:Z38"/>
    <mergeCell ref="A3:B3"/>
    <mergeCell ref="C3:F3"/>
    <mergeCell ref="A4:C4"/>
    <mergeCell ref="C5:C7"/>
    <mergeCell ref="B5:B7"/>
    <mergeCell ref="E6:E7"/>
    <mergeCell ref="F6:F7"/>
    <mergeCell ref="A5:A7"/>
    <mergeCell ref="D5:D7"/>
    <mergeCell ref="X6:X7"/>
    <mergeCell ref="T38:V38"/>
    <mergeCell ref="Q38:S38"/>
    <mergeCell ref="N38:O38"/>
    <mergeCell ref="P30:Q30"/>
    <mergeCell ref="M28:N28"/>
    <mergeCell ref="P33:Q33"/>
    <mergeCell ref="M33:N33"/>
    <mergeCell ref="R33:S33"/>
    <mergeCell ref="Z5:Z7"/>
    <mergeCell ref="M3:O3"/>
    <mergeCell ref="Q5:Q7"/>
    <mergeCell ref="E5:P5"/>
    <mergeCell ref="U3:Y3"/>
    <mergeCell ref="K6:K7"/>
    <mergeCell ref="T6:T7"/>
    <mergeCell ref="W6:W7"/>
    <mergeCell ref="V4:W4"/>
    <mergeCell ref="I6:J6"/>
    <mergeCell ref="A29:B29"/>
    <mergeCell ref="D26:E26"/>
    <mergeCell ref="A27:B27"/>
    <mergeCell ref="G27:H27"/>
    <mergeCell ref="G31:H31"/>
    <mergeCell ref="G32:H32"/>
    <mergeCell ref="R30:S30"/>
    <mergeCell ref="R28:S28"/>
    <mergeCell ref="P28:Q28"/>
    <mergeCell ref="M30:N30"/>
    <mergeCell ref="G28:H28"/>
    <mergeCell ref="G29:H29"/>
    <mergeCell ref="G30:H30"/>
    <mergeCell ref="G6:G7"/>
    <mergeCell ref="P25:P26"/>
    <mergeCell ref="Q25:Q26"/>
    <mergeCell ref="G25:H25"/>
    <mergeCell ref="G26:H26"/>
    <mergeCell ref="H6:H7"/>
    <mergeCell ref="A23:C23"/>
    <mergeCell ref="A26:B26"/>
    <mergeCell ref="D27:E27"/>
    <mergeCell ref="V25:V26"/>
    <mergeCell ref="M25:N26"/>
    <mergeCell ref="R25:S25"/>
    <mergeCell ref="A25:B25"/>
    <mergeCell ref="D25:F25"/>
    <mergeCell ref="U6:U7"/>
    <mergeCell ref="V6:V7"/>
    <mergeCell ref="O6:O7"/>
    <mergeCell ref="L6:L7"/>
    <mergeCell ref="M6:M7"/>
    <mergeCell ref="N6:N7"/>
    <mergeCell ref="A1:B1"/>
    <mergeCell ref="A2:B2"/>
    <mergeCell ref="C2:F2"/>
    <mergeCell ref="C1:F1"/>
    <mergeCell ref="W1:Y1"/>
    <mergeCell ref="G2:U2"/>
    <mergeCell ref="R5:Y5"/>
    <mergeCell ref="G1:Q1"/>
    <mergeCell ref="F4:J4"/>
    <mergeCell ref="M4:O4"/>
    <mergeCell ref="R4:U4"/>
    <mergeCell ref="J39:L39"/>
    <mergeCell ref="Y6:Y7"/>
    <mergeCell ref="P6:P7"/>
    <mergeCell ref="R6:R7"/>
    <mergeCell ref="S6:S7"/>
    <mergeCell ref="M39:O39"/>
    <mergeCell ref="M37:O37"/>
    <mergeCell ref="K38:L38"/>
    <mergeCell ref="W25:W26"/>
    <mergeCell ref="R26:S26"/>
  </mergeCells>
  <printOptions/>
  <pageMargins left="0" right="0" top="0.984251968503937" bottom="0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J27"/>
  <sheetViews>
    <sheetView zoomScalePageLayoutView="0" workbookViewId="0" topLeftCell="A19">
      <selection activeCell="K19" sqref="K19"/>
    </sheetView>
  </sheetViews>
  <sheetFormatPr defaultColWidth="9.140625" defaultRowHeight="12.75"/>
  <cols>
    <col min="1" max="1" width="3.28125" style="0" customWidth="1"/>
    <col min="2" max="2" width="15.7109375" style="0" customWidth="1"/>
    <col min="3" max="3" width="16.00390625" style="0" customWidth="1"/>
    <col min="4" max="34" width="3.00390625" style="0" customWidth="1"/>
    <col min="35" max="36" width="6.7109375" style="0" customWidth="1"/>
  </cols>
  <sheetData>
    <row r="1" spans="3:36" ht="17.25" customHeight="1">
      <c r="C1" s="135"/>
      <c r="D1" s="129"/>
      <c r="E1" s="129"/>
      <c r="F1" s="129"/>
      <c r="G1" s="129"/>
      <c r="H1" s="129"/>
      <c r="I1" s="129"/>
      <c r="J1" s="129"/>
      <c r="K1" s="129"/>
      <c r="AA1" s="636" t="s">
        <v>16</v>
      </c>
      <c r="AB1" s="636"/>
      <c r="AC1" s="636"/>
      <c r="AD1" s="636"/>
      <c r="AE1" s="636"/>
      <c r="AF1" s="636"/>
      <c r="AG1" s="636"/>
      <c r="AH1" s="636"/>
      <c r="AI1" s="636"/>
      <c r="AJ1" s="636"/>
    </row>
    <row r="2" spans="3:36" ht="21" customHeight="1">
      <c r="C2" s="129"/>
      <c r="D2" s="129"/>
      <c r="E2" s="129"/>
      <c r="F2" s="129"/>
      <c r="G2" s="129"/>
      <c r="H2" s="129"/>
      <c r="I2" s="129"/>
      <c r="J2" s="129"/>
      <c r="K2" s="129"/>
      <c r="X2" s="116" t="str">
        <f>Дані!B11</f>
        <v>Сільський голова</v>
      </c>
      <c r="Y2" s="116"/>
      <c r="Z2" s="116"/>
      <c r="AA2" s="116"/>
      <c r="AB2" s="116"/>
      <c r="AC2" s="116"/>
      <c r="AD2" s="171"/>
      <c r="AE2" s="171"/>
      <c r="AF2" s="171"/>
      <c r="AG2" s="171"/>
      <c r="AH2" s="171"/>
      <c r="AI2" s="642" t="str">
        <f>Дані!D11</f>
        <v>Іваанов</v>
      </c>
      <c r="AJ2" s="642"/>
    </row>
    <row r="3" spans="1:29" ht="22.5" customHeight="1">
      <c r="A3" s="3"/>
      <c r="B3" s="1"/>
      <c r="D3" s="13"/>
      <c r="E3" s="15"/>
      <c r="F3" s="15"/>
      <c r="G3" s="15"/>
      <c r="H3" s="15"/>
      <c r="I3" s="637" t="s">
        <v>17</v>
      </c>
      <c r="J3" s="638"/>
      <c r="K3" s="638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AC3" s="16"/>
    </row>
    <row r="4" spans="1:36" ht="19.5" customHeight="1">
      <c r="A4" s="643" t="str">
        <f>IF(Чорн!C3=Дані!A4,CONCATENATE("Фактично відпрацьованих днів працівниками ",Дані!I4),CONCATENATE("Фактично відпрацьованих днів працівниками ",Дані!I5))</f>
        <v>Фактично відпрацьованих днів працівниками Енецької сільської ради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278" t="s">
        <v>298</v>
      </c>
      <c r="X4" s="646" t="str">
        <f>Чорн!M3</f>
        <v>березень</v>
      </c>
      <c r="Y4" s="646"/>
      <c r="Z4" s="646"/>
      <c r="AA4" s="646"/>
      <c r="AB4" s="646"/>
      <c r="AC4" s="647">
        <f>Дані!C20</f>
        <v>2013</v>
      </c>
      <c r="AD4" s="647"/>
      <c r="AE4" s="647"/>
      <c r="AF4" s="645" t="s">
        <v>37</v>
      </c>
      <c r="AG4" s="645"/>
      <c r="AH4" s="645"/>
      <c r="AI4" s="6"/>
      <c r="AJ4" s="6"/>
    </row>
    <row r="5" spans="7:17" ht="24.75" customHeight="1">
      <c r="G5" s="2"/>
      <c r="H5" s="2"/>
      <c r="I5" s="14"/>
      <c r="J5" s="648"/>
      <c r="K5" s="649"/>
      <c r="L5" s="650"/>
      <c r="M5" s="650"/>
      <c r="N5" s="2"/>
      <c r="O5" s="2"/>
      <c r="P5" s="1"/>
      <c r="Q5" s="1"/>
    </row>
    <row r="6" spans="1:36" ht="19.5" customHeight="1">
      <c r="A6" s="635" t="s">
        <v>9</v>
      </c>
      <c r="B6" s="626" t="s">
        <v>18</v>
      </c>
      <c r="C6" s="626" t="s">
        <v>19</v>
      </c>
      <c r="D6" s="630" t="s">
        <v>20</v>
      </c>
      <c r="E6" s="630"/>
      <c r="F6" s="630"/>
      <c r="G6" s="630"/>
      <c r="H6" s="630"/>
      <c r="I6" s="630"/>
      <c r="J6" s="630"/>
      <c r="K6" s="630"/>
      <c r="L6" s="630"/>
      <c r="M6" s="631"/>
      <c r="N6" s="631"/>
      <c r="O6" s="631"/>
      <c r="P6" s="631"/>
      <c r="Q6" s="631"/>
      <c r="R6" s="631"/>
      <c r="S6" s="631"/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40" t="s">
        <v>21</v>
      </c>
      <c r="AJ6" s="640" t="s">
        <v>22</v>
      </c>
    </row>
    <row r="7" spans="1:36" ht="24.75" customHeight="1">
      <c r="A7" s="635"/>
      <c r="B7" s="627"/>
      <c r="C7" s="627"/>
      <c r="D7" s="17">
        <v>1</v>
      </c>
      <c r="E7" s="17">
        <v>2</v>
      </c>
      <c r="F7" s="17">
        <v>3</v>
      </c>
      <c r="G7" s="17">
        <v>4</v>
      </c>
      <c r="H7" s="17">
        <v>5</v>
      </c>
      <c r="I7" s="17">
        <v>6</v>
      </c>
      <c r="J7" s="17">
        <v>7</v>
      </c>
      <c r="K7" s="17">
        <v>8</v>
      </c>
      <c r="L7" s="17">
        <v>9</v>
      </c>
      <c r="M7" s="17">
        <v>10</v>
      </c>
      <c r="N7" s="17">
        <v>11</v>
      </c>
      <c r="O7" s="17">
        <v>12</v>
      </c>
      <c r="P7" s="17">
        <v>13</v>
      </c>
      <c r="Q7" s="17">
        <v>14</v>
      </c>
      <c r="R7" s="17">
        <v>15</v>
      </c>
      <c r="S7" s="17">
        <v>16</v>
      </c>
      <c r="T7" s="17">
        <v>17</v>
      </c>
      <c r="U7" s="17">
        <v>18</v>
      </c>
      <c r="V7" s="17">
        <v>19</v>
      </c>
      <c r="W7" s="17">
        <v>20</v>
      </c>
      <c r="X7" s="17">
        <v>21</v>
      </c>
      <c r="Y7" s="17">
        <v>22</v>
      </c>
      <c r="Z7" s="17">
        <v>23</v>
      </c>
      <c r="AA7" s="17">
        <v>24</v>
      </c>
      <c r="AB7" s="17">
        <v>25</v>
      </c>
      <c r="AC7" s="17">
        <v>26</v>
      </c>
      <c r="AD7" s="17">
        <v>27</v>
      </c>
      <c r="AE7" s="17">
        <v>28</v>
      </c>
      <c r="AF7" s="17">
        <v>29</v>
      </c>
      <c r="AG7" s="17">
        <v>30</v>
      </c>
      <c r="AH7" s="17">
        <v>31</v>
      </c>
      <c r="AI7" s="641"/>
      <c r="AJ7" s="641"/>
    </row>
    <row r="8" spans="1:36" ht="24.75" customHeight="1">
      <c r="A8" s="5">
        <v>1</v>
      </c>
      <c r="B8" s="327">
        <f>Чорн!B8</f>
        <v>0</v>
      </c>
      <c r="C8" s="327">
        <f>Чорн!C8</f>
        <v>0</v>
      </c>
      <c r="D8" s="53">
        <v>8</v>
      </c>
      <c r="E8" s="52" t="s">
        <v>24</v>
      </c>
      <c r="F8" s="52" t="s">
        <v>24</v>
      </c>
      <c r="G8" s="53">
        <v>8</v>
      </c>
      <c r="H8" s="53">
        <v>8</v>
      </c>
      <c r="I8" s="53">
        <v>8</v>
      </c>
      <c r="J8" s="53">
        <v>7</v>
      </c>
      <c r="K8" s="52" t="s">
        <v>24</v>
      </c>
      <c r="L8" s="52" t="s">
        <v>24</v>
      </c>
      <c r="M8" s="52" t="s">
        <v>24</v>
      </c>
      <c r="N8" s="53">
        <v>8</v>
      </c>
      <c r="O8" s="53">
        <v>8</v>
      </c>
      <c r="P8" s="53">
        <v>8</v>
      </c>
      <c r="Q8" s="53">
        <v>8</v>
      </c>
      <c r="R8" s="53">
        <v>8</v>
      </c>
      <c r="S8" s="52" t="s">
        <v>24</v>
      </c>
      <c r="T8" s="52" t="s">
        <v>24</v>
      </c>
      <c r="U8" s="53">
        <v>8</v>
      </c>
      <c r="V8" s="53">
        <v>8</v>
      </c>
      <c r="W8" s="53">
        <v>8</v>
      </c>
      <c r="X8" s="53">
        <v>8</v>
      </c>
      <c r="Y8" s="53">
        <v>8</v>
      </c>
      <c r="Z8" s="52" t="s">
        <v>24</v>
      </c>
      <c r="AA8" s="52" t="s">
        <v>24</v>
      </c>
      <c r="AB8" s="53">
        <v>8</v>
      </c>
      <c r="AC8" s="53">
        <v>8</v>
      </c>
      <c r="AD8" s="53">
        <v>8</v>
      </c>
      <c r="AE8" s="53">
        <v>8</v>
      </c>
      <c r="AF8" s="53">
        <v>8</v>
      </c>
      <c r="AG8" s="52" t="s">
        <v>24</v>
      </c>
      <c r="AH8" s="52" t="s">
        <v>24</v>
      </c>
      <c r="AI8" s="20">
        <f aca="true" t="shared" si="0" ref="AI8:AI15">COUNT(D8:AH8)</f>
        <v>20</v>
      </c>
      <c r="AJ8" s="413">
        <f aca="true" t="shared" si="1" ref="AJ8:AJ15">SUM(D8:AH8)</f>
        <v>159</v>
      </c>
    </row>
    <row r="9" spans="1:36" ht="24.75" customHeight="1">
      <c r="A9" s="5">
        <v>2</v>
      </c>
      <c r="B9" s="327">
        <f>Чорн!B9</f>
        <v>0</v>
      </c>
      <c r="C9" s="327">
        <f>Чорн!C9</f>
        <v>0</v>
      </c>
      <c r="D9" s="53"/>
      <c r="E9" s="52"/>
      <c r="F9" s="52"/>
      <c r="G9" s="53"/>
      <c r="H9" s="53"/>
      <c r="I9" s="53"/>
      <c r="J9" s="53"/>
      <c r="K9" s="52"/>
      <c r="L9" s="52"/>
      <c r="M9" s="52"/>
      <c r="N9" s="53"/>
      <c r="O9" s="53"/>
      <c r="P9" s="53"/>
      <c r="Q9" s="53"/>
      <c r="R9" s="53"/>
      <c r="S9" s="52"/>
      <c r="T9" s="52"/>
      <c r="U9" s="53"/>
      <c r="V9" s="53"/>
      <c r="W9" s="53"/>
      <c r="X9" s="53"/>
      <c r="Y9" s="53"/>
      <c r="Z9" s="52"/>
      <c r="AA9" s="52"/>
      <c r="AB9" s="53"/>
      <c r="AC9" s="53"/>
      <c r="AD9" s="53"/>
      <c r="AE9" s="53"/>
      <c r="AF9" s="53"/>
      <c r="AG9" s="52"/>
      <c r="AH9" s="52"/>
      <c r="AI9" s="20">
        <f t="shared" si="0"/>
        <v>0</v>
      </c>
      <c r="AJ9" s="413">
        <f t="shared" si="1"/>
        <v>0</v>
      </c>
    </row>
    <row r="10" spans="1:36" ht="24.75" customHeight="1">
      <c r="A10" s="5">
        <v>3</v>
      </c>
      <c r="B10" s="327">
        <f>Чорн!B10</f>
        <v>0</v>
      </c>
      <c r="C10" s="327">
        <f>Чорн!C10</f>
        <v>0</v>
      </c>
      <c r="D10" s="53"/>
      <c r="E10" s="52"/>
      <c r="F10" s="52"/>
      <c r="G10" s="53"/>
      <c r="H10" s="53"/>
      <c r="I10" s="53"/>
      <c r="J10" s="53"/>
      <c r="K10" s="52"/>
      <c r="L10" s="52"/>
      <c r="M10" s="52"/>
      <c r="N10" s="53"/>
      <c r="O10" s="53"/>
      <c r="P10" s="53"/>
      <c r="Q10" s="53"/>
      <c r="R10" s="53"/>
      <c r="S10" s="52"/>
      <c r="T10" s="52"/>
      <c r="U10" s="53"/>
      <c r="V10" s="53"/>
      <c r="W10" s="53"/>
      <c r="X10" s="53"/>
      <c r="Y10" s="53"/>
      <c r="Z10" s="52"/>
      <c r="AA10" s="52"/>
      <c r="AB10" s="53"/>
      <c r="AC10" s="53"/>
      <c r="AD10" s="53"/>
      <c r="AE10" s="53"/>
      <c r="AF10" s="53"/>
      <c r="AG10" s="52"/>
      <c r="AH10" s="52"/>
      <c r="AI10" s="20">
        <f t="shared" si="0"/>
        <v>0</v>
      </c>
      <c r="AJ10" s="413">
        <f t="shared" si="1"/>
        <v>0</v>
      </c>
    </row>
    <row r="11" spans="1:36" ht="24.75" customHeight="1">
      <c r="A11" s="5">
        <v>4</v>
      </c>
      <c r="B11" s="327">
        <f>Чорн!B11</f>
        <v>0</v>
      </c>
      <c r="C11" s="327">
        <f>Чорн!C11</f>
        <v>0</v>
      </c>
      <c r="D11" s="53"/>
      <c r="E11" s="52"/>
      <c r="F11" s="52"/>
      <c r="G11" s="53"/>
      <c r="H11" s="53"/>
      <c r="I11" s="53"/>
      <c r="J11" s="53"/>
      <c r="K11" s="52"/>
      <c r="L11" s="52"/>
      <c r="M11" s="52"/>
      <c r="N11" s="53"/>
      <c r="O11" s="53"/>
      <c r="P11" s="53"/>
      <c r="Q11" s="53"/>
      <c r="R11" s="53"/>
      <c r="S11" s="52"/>
      <c r="T11" s="52"/>
      <c r="U11" s="53"/>
      <c r="V11" s="53"/>
      <c r="W11" s="53"/>
      <c r="X11" s="53"/>
      <c r="Y11" s="53"/>
      <c r="Z11" s="52"/>
      <c r="AA11" s="52"/>
      <c r="AB11" s="53"/>
      <c r="AC11" s="53"/>
      <c r="AD11" s="53"/>
      <c r="AE11" s="53"/>
      <c r="AF11" s="53"/>
      <c r="AG11" s="52"/>
      <c r="AH11" s="52"/>
      <c r="AI11" s="20">
        <f t="shared" si="0"/>
        <v>0</v>
      </c>
      <c r="AJ11" s="413">
        <f t="shared" si="1"/>
        <v>0</v>
      </c>
    </row>
    <row r="12" spans="1:36" ht="24.75" customHeight="1">
      <c r="A12" s="5">
        <v>5</v>
      </c>
      <c r="B12" s="327">
        <f>Чорн!B12</f>
        <v>0</v>
      </c>
      <c r="C12" s="327">
        <f>Чорн!C12</f>
        <v>0</v>
      </c>
      <c r="D12" s="53"/>
      <c r="E12" s="52"/>
      <c r="F12" s="52"/>
      <c r="G12" s="53"/>
      <c r="H12" s="53"/>
      <c r="I12" s="53"/>
      <c r="J12" s="53"/>
      <c r="K12" s="52"/>
      <c r="L12" s="52"/>
      <c r="M12" s="52"/>
      <c r="N12" s="53"/>
      <c r="O12" s="53"/>
      <c r="P12" s="53"/>
      <c r="Q12" s="53"/>
      <c r="R12" s="53"/>
      <c r="S12" s="52"/>
      <c r="T12" s="52"/>
      <c r="U12" s="53"/>
      <c r="V12" s="53"/>
      <c r="W12" s="53"/>
      <c r="X12" s="53"/>
      <c r="Y12" s="53"/>
      <c r="Z12" s="52"/>
      <c r="AA12" s="52"/>
      <c r="AB12" s="53"/>
      <c r="AC12" s="53"/>
      <c r="AD12" s="53"/>
      <c r="AE12" s="53"/>
      <c r="AF12" s="53"/>
      <c r="AG12" s="52"/>
      <c r="AH12" s="52"/>
      <c r="AI12" s="20">
        <f t="shared" si="0"/>
        <v>0</v>
      </c>
      <c r="AJ12" s="413">
        <f t="shared" si="1"/>
        <v>0</v>
      </c>
    </row>
    <row r="13" spans="1:36" ht="24.75" customHeight="1">
      <c r="A13" s="5">
        <v>6</v>
      </c>
      <c r="B13" s="327">
        <f>Чорн!B13</f>
        <v>0</v>
      </c>
      <c r="C13" s="327">
        <f>Чорн!C13</f>
        <v>0</v>
      </c>
      <c r="D13" s="53"/>
      <c r="E13" s="52"/>
      <c r="F13" s="52"/>
      <c r="G13" s="53"/>
      <c r="H13" s="53"/>
      <c r="I13" s="53"/>
      <c r="J13" s="53"/>
      <c r="K13" s="52"/>
      <c r="L13" s="52"/>
      <c r="M13" s="52"/>
      <c r="N13" s="53"/>
      <c r="O13" s="53"/>
      <c r="P13" s="53"/>
      <c r="Q13" s="53"/>
      <c r="R13" s="53"/>
      <c r="S13" s="52"/>
      <c r="T13" s="52"/>
      <c r="U13" s="53"/>
      <c r="V13" s="53"/>
      <c r="W13" s="53"/>
      <c r="X13" s="53"/>
      <c r="Y13" s="53"/>
      <c r="Z13" s="52"/>
      <c r="AA13" s="52"/>
      <c r="AB13" s="53"/>
      <c r="AC13" s="53"/>
      <c r="AD13" s="53"/>
      <c r="AE13" s="53"/>
      <c r="AF13" s="53"/>
      <c r="AG13" s="52"/>
      <c r="AH13" s="52"/>
      <c r="AI13" s="20">
        <f t="shared" si="0"/>
        <v>0</v>
      </c>
      <c r="AJ13" s="413">
        <f t="shared" si="1"/>
        <v>0</v>
      </c>
    </row>
    <row r="14" spans="1:36" ht="24.75" customHeight="1">
      <c r="A14" s="5">
        <v>7</v>
      </c>
      <c r="B14" s="327">
        <f>Чорн!B14</f>
        <v>0</v>
      </c>
      <c r="C14" s="327">
        <f>Чорн!C14</f>
        <v>0</v>
      </c>
      <c r="D14" s="53"/>
      <c r="E14" s="52"/>
      <c r="F14" s="52"/>
      <c r="G14" s="53"/>
      <c r="H14" s="53"/>
      <c r="I14" s="53"/>
      <c r="J14" s="53"/>
      <c r="K14" s="52"/>
      <c r="L14" s="52"/>
      <c r="M14" s="52"/>
      <c r="N14" s="53"/>
      <c r="O14" s="53"/>
      <c r="P14" s="53"/>
      <c r="Q14" s="53"/>
      <c r="R14" s="53"/>
      <c r="S14" s="52"/>
      <c r="T14" s="52"/>
      <c r="U14" s="53"/>
      <c r="V14" s="53"/>
      <c r="W14" s="53"/>
      <c r="X14" s="53"/>
      <c r="Y14" s="53"/>
      <c r="Z14" s="52"/>
      <c r="AA14" s="52"/>
      <c r="AB14" s="53"/>
      <c r="AC14" s="53"/>
      <c r="AD14" s="53"/>
      <c r="AE14" s="53"/>
      <c r="AF14" s="53"/>
      <c r="AG14" s="52"/>
      <c r="AH14" s="52"/>
      <c r="AI14" s="20">
        <f t="shared" si="0"/>
        <v>0</v>
      </c>
      <c r="AJ14" s="413">
        <f t="shared" si="1"/>
        <v>0</v>
      </c>
    </row>
    <row r="15" spans="1:36" ht="24.75" customHeight="1">
      <c r="A15" s="5">
        <v>8</v>
      </c>
      <c r="B15" s="327">
        <f>Чорн!B15</f>
        <v>0</v>
      </c>
      <c r="C15" s="327">
        <f>Чорн!C15</f>
        <v>0</v>
      </c>
      <c r="D15" s="53"/>
      <c r="E15" s="52"/>
      <c r="F15" s="52"/>
      <c r="G15" s="53"/>
      <c r="H15" s="53"/>
      <c r="I15" s="53"/>
      <c r="J15" s="53"/>
      <c r="K15" s="52"/>
      <c r="L15" s="52"/>
      <c r="M15" s="52"/>
      <c r="N15" s="53"/>
      <c r="O15" s="53"/>
      <c r="P15" s="53"/>
      <c r="Q15" s="53"/>
      <c r="R15" s="53"/>
      <c r="S15" s="52"/>
      <c r="T15" s="52"/>
      <c r="U15" s="53"/>
      <c r="V15" s="53"/>
      <c r="W15" s="53"/>
      <c r="X15" s="53"/>
      <c r="Y15" s="53"/>
      <c r="Z15" s="52"/>
      <c r="AA15" s="52"/>
      <c r="AB15" s="53"/>
      <c r="AC15" s="53"/>
      <c r="AD15" s="53"/>
      <c r="AE15" s="53"/>
      <c r="AF15" s="53"/>
      <c r="AG15" s="52"/>
      <c r="AH15" s="52"/>
      <c r="AI15" s="20">
        <f t="shared" si="0"/>
        <v>0</v>
      </c>
      <c r="AJ15" s="413">
        <f t="shared" si="1"/>
        <v>0</v>
      </c>
    </row>
    <row r="16" spans="1:36" ht="24.75" customHeight="1">
      <c r="A16" s="5">
        <v>9</v>
      </c>
      <c r="B16" s="327">
        <f>Чорн!B16</f>
        <v>0</v>
      </c>
      <c r="C16" s="327">
        <f>Чорн!C16</f>
        <v>0</v>
      </c>
      <c r="D16" s="53"/>
      <c r="E16" s="52"/>
      <c r="F16" s="52"/>
      <c r="G16" s="53"/>
      <c r="H16" s="53"/>
      <c r="I16" s="53"/>
      <c r="J16" s="53"/>
      <c r="K16" s="52"/>
      <c r="L16" s="52"/>
      <c r="M16" s="52"/>
      <c r="N16" s="53"/>
      <c r="O16" s="53"/>
      <c r="P16" s="53"/>
      <c r="Q16" s="53"/>
      <c r="R16" s="53"/>
      <c r="S16" s="52"/>
      <c r="T16" s="52"/>
      <c r="U16" s="53"/>
      <c r="V16" s="53"/>
      <c r="W16" s="53"/>
      <c r="X16" s="53"/>
      <c r="Y16" s="53"/>
      <c r="Z16" s="52"/>
      <c r="AA16" s="52"/>
      <c r="AB16" s="53"/>
      <c r="AC16" s="53"/>
      <c r="AD16" s="53"/>
      <c r="AE16" s="53"/>
      <c r="AF16" s="53"/>
      <c r="AG16" s="52"/>
      <c r="AH16" s="52"/>
      <c r="AI16" s="20">
        <f aca="true" t="shared" si="2" ref="AI16:AI22">COUNT(D16:AH16)</f>
        <v>0</v>
      </c>
      <c r="AJ16" s="413">
        <f aca="true" t="shared" si="3" ref="AJ16:AJ22">SUM(D16:AH16)</f>
        <v>0</v>
      </c>
    </row>
    <row r="17" spans="1:36" ht="24.75" customHeight="1">
      <c r="A17" s="5">
        <v>10</v>
      </c>
      <c r="B17" s="327">
        <f>Чорн!B17</f>
        <v>0</v>
      </c>
      <c r="C17" s="327">
        <f>Чорн!C17</f>
        <v>0</v>
      </c>
      <c r="D17" s="53"/>
      <c r="E17" s="52"/>
      <c r="F17" s="52"/>
      <c r="G17" s="53"/>
      <c r="H17" s="53"/>
      <c r="I17" s="53"/>
      <c r="J17" s="53"/>
      <c r="K17" s="52"/>
      <c r="L17" s="52"/>
      <c r="M17" s="52"/>
      <c r="N17" s="53"/>
      <c r="O17" s="53"/>
      <c r="P17" s="53"/>
      <c r="Q17" s="53"/>
      <c r="R17" s="53"/>
      <c r="S17" s="52"/>
      <c r="T17" s="52"/>
      <c r="U17" s="53"/>
      <c r="V17" s="53"/>
      <c r="W17" s="53"/>
      <c r="X17" s="53"/>
      <c r="Y17" s="53"/>
      <c r="Z17" s="52"/>
      <c r="AA17" s="52"/>
      <c r="AB17" s="53"/>
      <c r="AC17" s="53"/>
      <c r="AD17" s="53"/>
      <c r="AE17" s="53"/>
      <c r="AF17" s="53"/>
      <c r="AG17" s="52"/>
      <c r="AH17" s="52"/>
      <c r="AI17" s="20">
        <f t="shared" si="2"/>
        <v>0</v>
      </c>
      <c r="AJ17" s="413">
        <f t="shared" si="3"/>
        <v>0</v>
      </c>
    </row>
    <row r="18" spans="1:36" ht="24.75" customHeight="1">
      <c r="A18" s="5">
        <v>11</v>
      </c>
      <c r="B18" s="327">
        <f>Чорн!B18</f>
        <v>0</v>
      </c>
      <c r="C18" s="327">
        <f>Чорн!C18</f>
        <v>0</v>
      </c>
      <c r="D18" s="53"/>
      <c r="E18" s="52"/>
      <c r="F18" s="52"/>
      <c r="G18" s="53"/>
      <c r="H18" s="53"/>
      <c r="I18" s="53"/>
      <c r="J18" s="53"/>
      <c r="K18" s="52"/>
      <c r="L18" s="52"/>
      <c r="M18" s="52"/>
      <c r="N18" s="53"/>
      <c r="O18" s="53"/>
      <c r="P18" s="53"/>
      <c r="Q18" s="53"/>
      <c r="R18" s="53"/>
      <c r="S18" s="52"/>
      <c r="T18" s="52"/>
      <c r="U18" s="53"/>
      <c r="V18" s="53"/>
      <c r="W18" s="53"/>
      <c r="X18" s="53"/>
      <c r="Y18" s="53"/>
      <c r="Z18" s="52"/>
      <c r="AA18" s="52"/>
      <c r="AB18" s="53"/>
      <c r="AC18" s="53"/>
      <c r="AD18" s="53"/>
      <c r="AE18" s="53"/>
      <c r="AF18" s="53"/>
      <c r="AG18" s="52"/>
      <c r="AH18" s="52"/>
      <c r="AI18" s="20">
        <f t="shared" si="2"/>
        <v>0</v>
      </c>
      <c r="AJ18" s="413">
        <f t="shared" si="3"/>
        <v>0</v>
      </c>
    </row>
    <row r="19" spans="1:36" ht="24.75" customHeight="1">
      <c r="A19" s="5">
        <v>12</v>
      </c>
      <c r="B19" s="327">
        <f>Чорн!B19</f>
        <v>0</v>
      </c>
      <c r="C19" s="327">
        <f>Чорн!C19</f>
        <v>0</v>
      </c>
      <c r="D19" s="53"/>
      <c r="E19" s="52"/>
      <c r="F19" s="52"/>
      <c r="G19" s="53"/>
      <c r="H19" s="53"/>
      <c r="I19" s="53"/>
      <c r="J19" s="53"/>
      <c r="K19" s="52"/>
      <c r="L19" s="52"/>
      <c r="M19" s="52"/>
      <c r="N19" s="53"/>
      <c r="O19" s="53"/>
      <c r="P19" s="53"/>
      <c r="Q19" s="53"/>
      <c r="R19" s="53"/>
      <c r="S19" s="52"/>
      <c r="T19" s="52"/>
      <c r="U19" s="53"/>
      <c r="V19" s="53"/>
      <c r="W19" s="53"/>
      <c r="X19" s="53"/>
      <c r="Y19" s="53"/>
      <c r="Z19" s="52"/>
      <c r="AA19" s="52"/>
      <c r="AB19" s="53"/>
      <c r="AC19" s="53"/>
      <c r="AD19" s="53"/>
      <c r="AE19" s="53"/>
      <c r="AF19" s="53"/>
      <c r="AG19" s="52"/>
      <c r="AH19" s="52"/>
      <c r="AI19" s="20">
        <f t="shared" si="2"/>
        <v>0</v>
      </c>
      <c r="AJ19" s="413">
        <f t="shared" si="3"/>
        <v>0</v>
      </c>
    </row>
    <row r="20" spans="1:36" ht="24.75" customHeight="1">
      <c r="A20" s="5">
        <v>13</v>
      </c>
      <c r="B20" s="327">
        <f>Чорн!B20</f>
        <v>0</v>
      </c>
      <c r="C20" s="327">
        <f>Чорн!C20</f>
        <v>0</v>
      </c>
      <c r="D20" s="53"/>
      <c r="E20" s="52"/>
      <c r="F20" s="52"/>
      <c r="G20" s="53"/>
      <c r="H20" s="53"/>
      <c r="I20" s="53"/>
      <c r="J20" s="53"/>
      <c r="K20" s="52"/>
      <c r="L20" s="52"/>
      <c r="M20" s="52"/>
      <c r="N20" s="53"/>
      <c r="O20" s="53"/>
      <c r="P20" s="53"/>
      <c r="Q20" s="53"/>
      <c r="R20" s="53"/>
      <c r="S20" s="52"/>
      <c r="T20" s="52"/>
      <c r="U20" s="53"/>
      <c r="V20" s="53"/>
      <c r="W20" s="53"/>
      <c r="X20" s="53"/>
      <c r="Y20" s="53"/>
      <c r="Z20" s="52"/>
      <c r="AA20" s="52"/>
      <c r="AB20" s="53"/>
      <c r="AC20" s="53"/>
      <c r="AD20" s="53"/>
      <c r="AE20" s="53"/>
      <c r="AF20" s="53"/>
      <c r="AG20" s="52"/>
      <c r="AH20" s="52"/>
      <c r="AI20" s="20">
        <f t="shared" si="2"/>
        <v>0</v>
      </c>
      <c r="AJ20" s="413">
        <f t="shared" si="3"/>
        <v>0</v>
      </c>
    </row>
    <row r="21" spans="1:36" ht="24.75" customHeight="1">
      <c r="A21" s="5">
        <v>14</v>
      </c>
      <c r="B21" s="327">
        <f>Чорн!B21</f>
        <v>0</v>
      </c>
      <c r="C21" s="327">
        <f>Чорн!C21</f>
        <v>0</v>
      </c>
      <c r="D21" s="53"/>
      <c r="E21" s="52"/>
      <c r="F21" s="52"/>
      <c r="G21" s="53"/>
      <c r="H21" s="53"/>
      <c r="I21" s="53"/>
      <c r="J21" s="53"/>
      <c r="K21" s="52"/>
      <c r="L21" s="52"/>
      <c r="M21" s="52"/>
      <c r="N21" s="53"/>
      <c r="O21" s="53"/>
      <c r="P21" s="53"/>
      <c r="Q21" s="53"/>
      <c r="R21" s="53"/>
      <c r="S21" s="52"/>
      <c r="T21" s="52"/>
      <c r="U21" s="53"/>
      <c r="V21" s="53"/>
      <c r="W21" s="53"/>
      <c r="X21" s="53"/>
      <c r="Y21" s="53"/>
      <c r="Z21" s="52"/>
      <c r="AA21" s="52"/>
      <c r="AB21" s="53"/>
      <c r="AC21" s="53"/>
      <c r="AD21" s="53"/>
      <c r="AE21" s="53"/>
      <c r="AF21" s="53"/>
      <c r="AG21" s="52"/>
      <c r="AH21" s="52"/>
      <c r="AI21" s="20">
        <f t="shared" si="2"/>
        <v>0</v>
      </c>
      <c r="AJ21" s="413">
        <f t="shared" si="3"/>
        <v>0</v>
      </c>
    </row>
    <row r="22" spans="1:36" ht="24.75" customHeight="1">
      <c r="A22" s="5">
        <v>15</v>
      </c>
      <c r="B22" s="327">
        <f>Чорн!B22</f>
        <v>0</v>
      </c>
      <c r="C22" s="327">
        <f>Чорн!C22</f>
        <v>0</v>
      </c>
      <c r="D22" s="53"/>
      <c r="E22" s="52"/>
      <c r="F22" s="52"/>
      <c r="G22" s="53"/>
      <c r="H22" s="53"/>
      <c r="I22" s="53"/>
      <c r="J22" s="53"/>
      <c r="K22" s="52"/>
      <c r="L22" s="52"/>
      <c r="M22" s="52"/>
      <c r="N22" s="53"/>
      <c r="O22" s="53"/>
      <c r="P22" s="53"/>
      <c r="Q22" s="53"/>
      <c r="R22" s="53"/>
      <c r="S22" s="52"/>
      <c r="T22" s="52"/>
      <c r="U22" s="53"/>
      <c r="V22" s="53"/>
      <c r="W22" s="53"/>
      <c r="X22" s="53"/>
      <c r="Y22" s="53"/>
      <c r="Z22" s="52"/>
      <c r="AA22" s="52"/>
      <c r="AB22" s="53"/>
      <c r="AC22" s="53"/>
      <c r="AD22" s="53"/>
      <c r="AE22" s="53"/>
      <c r="AF22" s="53"/>
      <c r="AG22" s="52"/>
      <c r="AH22" s="52"/>
      <c r="AI22" s="20">
        <f t="shared" si="2"/>
        <v>0</v>
      </c>
      <c r="AJ22" s="413">
        <f t="shared" si="3"/>
        <v>0</v>
      </c>
    </row>
    <row r="23" spans="1:36" ht="24.75" customHeight="1">
      <c r="A23" s="5"/>
      <c r="B23" s="633" t="s">
        <v>62</v>
      </c>
      <c r="C23" s="634"/>
      <c r="D23" s="12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20">
        <f>SUM(AI8:AI22)</f>
        <v>20</v>
      </c>
      <c r="AJ23" s="413">
        <f>SUM(AJ8:AJ22)</f>
        <v>159</v>
      </c>
    </row>
    <row r="24" spans="1:20" ht="14.25">
      <c r="A24" s="2"/>
      <c r="B24" s="2"/>
      <c r="C24" s="9"/>
      <c r="D24" s="9"/>
      <c r="E24" s="8"/>
      <c r="F24" s="9"/>
      <c r="G24" s="9"/>
      <c r="H24" s="9"/>
      <c r="I24" s="9"/>
      <c r="J24" s="4"/>
      <c r="K24" s="4"/>
      <c r="L24" s="4"/>
      <c r="M24" s="4"/>
      <c r="N24" s="4"/>
      <c r="O24" s="4"/>
      <c r="P24" s="11"/>
      <c r="Q24" s="4"/>
      <c r="R24" s="4"/>
      <c r="S24" s="9"/>
      <c r="T24" s="9"/>
    </row>
    <row r="25" spans="1:30" ht="12.75" customHeight="1">
      <c r="A25" s="2"/>
      <c r="B25" s="2"/>
      <c r="C25" s="9"/>
      <c r="D25" s="9"/>
      <c r="E25" s="628" t="str">
        <f>Дані!B11</f>
        <v>Сільський голова</v>
      </c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2"/>
      <c r="R25" s="10"/>
      <c r="S25" s="2"/>
      <c r="T25" s="9"/>
      <c r="U25" s="21"/>
      <c r="V25" s="21"/>
      <c r="W25" s="21"/>
      <c r="X25" s="629" t="str">
        <f>Дані!D11</f>
        <v>Іваанов</v>
      </c>
      <c r="Y25" s="629"/>
      <c r="Z25" s="629"/>
      <c r="AA25" s="629"/>
      <c r="AB25" s="629"/>
      <c r="AC25" s="629"/>
      <c r="AD25" s="629"/>
    </row>
    <row r="26" spans="1:20" ht="14.25">
      <c r="A26" s="2"/>
      <c r="B26" s="2"/>
      <c r="C26" s="9"/>
      <c r="D26" s="9"/>
      <c r="E26" s="8"/>
      <c r="F26" s="9"/>
      <c r="G26" s="9"/>
      <c r="H26" s="9"/>
      <c r="I26" s="9"/>
      <c r="J26" s="2"/>
      <c r="K26" s="2"/>
      <c r="L26" s="4"/>
      <c r="M26" s="2"/>
      <c r="N26" s="2"/>
      <c r="O26" s="2"/>
      <c r="P26" s="2"/>
      <c r="Q26" s="2"/>
      <c r="R26" s="2"/>
      <c r="S26" s="2"/>
      <c r="T26" s="2"/>
    </row>
    <row r="27" spans="1:30" ht="12.75">
      <c r="A27" s="2"/>
      <c r="B27" s="2"/>
      <c r="C27" s="2"/>
      <c r="D27" s="2"/>
      <c r="E27" s="628" t="str">
        <f>Дані!B12</f>
        <v>Головний бухгалтер</v>
      </c>
      <c r="F27" s="628"/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8"/>
      <c r="R27" s="8"/>
      <c r="S27" s="2"/>
      <c r="T27" s="2"/>
      <c r="U27" s="21"/>
      <c r="V27" s="21"/>
      <c r="W27" s="21"/>
      <c r="X27" s="644" t="str">
        <f>Дані!D12</f>
        <v>сідоров</v>
      </c>
      <c r="Y27" s="644"/>
      <c r="Z27" s="644"/>
      <c r="AA27" s="644"/>
      <c r="AB27" s="644"/>
      <c r="AC27" s="644"/>
      <c r="AD27" s="644"/>
    </row>
  </sheetData>
  <sheetProtection sheet="1" objects="1" scenarios="1" selectLockedCells="1"/>
  <mergeCells count="20">
    <mergeCell ref="AF4:AH4"/>
    <mergeCell ref="X4:AB4"/>
    <mergeCell ref="AC4:AE4"/>
    <mergeCell ref="J5:K5"/>
    <mergeCell ref="L5:M5"/>
    <mergeCell ref="A6:A7"/>
    <mergeCell ref="B6:B7"/>
    <mergeCell ref="E27:P27"/>
    <mergeCell ref="AA1:AJ1"/>
    <mergeCell ref="I3:Y3"/>
    <mergeCell ref="AI6:AI7"/>
    <mergeCell ref="AJ6:AJ7"/>
    <mergeCell ref="AI2:AJ2"/>
    <mergeCell ref="A4:V4"/>
    <mergeCell ref="X27:AD27"/>
    <mergeCell ref="C6:C7"/>
    <mergeCell ref="E25:P25"/>
    <mergeCell ref="X25:AD25"/>
    <mergeCell ref="D6:AH6"/>
    <mergeCell ref="B23:C23"/>
  </mergeCells>
  <printOptions/>
  <pageMargins left="0.3937007874015748" right="0" top="1.5748031496062993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2:W159"/>
  <sheetViews>
    <sheetView zoomScale="94" zoomScaleNormal="94" workbookViewId="0" topLeftCell="A1">
      <selection activeCell="G15" sqref="G15"/>
    </sheetView>
  </sheetViews>
  <sheetFormatPr defaultColWidth="9.140625" defaultRowHeight="12.75"/>
  <cols>
    <col min="1" max="1" width="6.7109375" style="23" customWidth="1"/>
    <col min="2" max="2" width="6.57421875" style="23" customWidth="1"/>
    <col min="3" max="4" width="6.7109375" style="23" customWidth="1"/>
    <col min="5" max="5" width="7.7109375" style="23" customWidth="1"/>
    <col min="6" max="6" width="7.28125" style="23" customWidth="1"/>
    <col min="7" max="7" width="8.7109375" style="23" customWidth="1"/>
    <col min="8" max="8" width="7.7109375" style="23" customWidth="1"/>
    <col min="9" max="9" width="8.7109375" style="23" customWidth="1"/>
    <col min="10" max="10" width="3.7109375" style="23" customWidth="1"/>
    <col min="11" max="11" width="6.7109375" style="23" customWidth="1"/>
    <col min="12" max="12" width="6.57421875" style="23" customWidth="1"/>
    <col min="13" max="14" width="6.7109375" style="23" customWidth="1"/>
    <col min="15" max="15" width="7.7109375" style="23" customWidth="1"/>
    <col min="16" max="16" width="7.28125" style="23" customWidth="1"/>
    <col min="17" max="17" width="8.7109375" style="23" customWidth="1"/>
    <col min="18" max="18" width="7.7109375" style="23" customWidth="1"/>
    <col min="19" max="19" width="8.7109375" style="23" customWidth="1"/>
    <col min="20" max="16384" width="9.140625" style="23" customWidth="1"/>
  </cols>
  <sheetData>
    <row r="2" spans="1:19" ht="14.25" customHeight="1">
      <c r="A2" s="140"/>
      <c r="B2" s="140"/>
      <c r="C2" s="140"/>
      <c r="D2" s="140"/>
      <c r="E2" s="140"/>
      <c r="F2" s="140"/>
      <c r="G2" s="657" t="s">
        <v>178</v>
      </c>
      <c r="H2" s="657"/>
      <c r="I2" s="657"/>
      <c r="J2" s="658">
        <f>Чорн!P3</f>
        <v>2013</v>
      </c>
      <c r="K2" s="658"/>
      <c r="L2" s="140" t="s">
        <v>179</v>
      </c>
      <c r="M2" s="140"/>
      <c r="N2" s="140"/>
      <c r="O2" s="140"/>
      <c r="P2" s="140"/>
      <c r="Q2" s="140"/>
      <c r="R2" s="140"/>
      <c r="S2" s="140"/>
    </row>
    <row r="3" spans="1:23" ht="12.75">
      <c r="A3" s="659">
        <f>Чорн!C8</f>
        <v>0</v>
      </c>
      <c r="B3" s="659"/>
      <c r="C3" s="659"/>
      <c r="D3" s="659"/>
      <c r="E3" s="659"/>
      <c r="F3" s="659"/>
      <c r="G3" s="659"/>
      <c r="H3" s="659"/>
      <c r="I3" s="660"/>
      <c r="K3" s="659">
        <f>Чорн!C9</f>
        <v>0</v>
      </c>
      <c r="L3" s="659"/>
      <c r="M3" s="659"/>
      <c r="N3" s="659"/>
      <c r="O3" s="659"/>
      <c r="P3" s="659"/>
      <c r="Q3" s="659"/>
      <c r="R3" s="659"/>
      <c r="S3" s="660"/>
      <c r="T3" s="282">
        <f>A3</f>
        <v>0</v>
      </c>
      <c r="U3" s="141"/>
      <c r="V3" s="142"/>
      <c r="W3" s="142"/>
    </row>
    <row r="4" spans="1:20" ht="45" customHeight="1">
      <c r="A4" s="143" t="s">
        <v>169</v>
      </c>
      <c r="B4" s="143" t="s">
        <v>170</v>
      </c>
      <c r="C4" s="143" t="s">
        <v>12</v>
      </c>
      <c r="D4" s="143" t="s">
        <v>171</v>
      </c>
      <c r="E4" s="143" t="s">
        <v>172</v>
      </c>
      <c r="F4" s="143" t="s">
        <v>173</v>
      </c>
      <c r="G4" s="143" t="s">
        <v>174</v>
      </c>
      <c r="H4" s="143" t="s">
        <v>175</v>
      </c>
      <c r="I4" s="143" t="s">
        <v>176</v>
      </c>
      <c r="J4" s="144"/>
      <c r="K4" s="143" t="s">
        <v>169</v>
      </c>
      <c r="L4" s="143" t="s">
        <v>170</v>
      </c>
      <c r="M4" s="143" t="s">
        <v>12</v>
      </c>
      <c r="N4" s="143" t="s">
        <v>171</v>
      </c>
      <c r="O4" s="143" t="s">
        <v>172</v>
      </c>
      <c r="P4" s="143" t="s">
        <v>173</v>
      </c>
      <c r="Q4" s="143" t="s">
        <v>174</v>
      </c>
      <c r="R4" s="143" t="s">
        <v>175</v>
      </c>
      <c r="S4" s="143" t="s">
        <v>176</v>
      </c>
      <c r="T4" s="128" t="s">
        <v>100</v>
      </c>
    </row>
    <row r="5" spans="1:20" ht="12" customHeight="1">
      <c r="A5" s="185">
        <v>1</v>
      </c>
      <c r="B5" s="296">
        <v>21</v>
      </c>
      <c r="C5" s="296">
        <v>1147</v>
      </c>
      <c r="D5" s="187">
        <v>6.8</v>
      </c>
      <c r="E5" s="298">
        <f>ROUND(C5*D5/100,2)</f>
        <v>78</v>
      </c>
      <c r="F5" s="297">
        <v>21</v>
      </c>
      <c r="G5" s="297">
        <v>2000</v>
      </c>
      <c r="H5" s="298">
        <f>ROUND(IF(G5&gt;=C5,E5,G5*D5/100),2)+I5</f>
        <v>78</v>
      </c>
      <c r="I5" s="396"/>
      <c r="K5" s="185">
        <v>1</v>
      </c>
      <c r="L5" s="296">
        <v>21</v>
      </c>
      <c r="M5" s="296">
        <v>1147</v>
      </c>
      <c r="N5" s="187">
        <v>19.5</v>
      </c>
      <c r="O5" s="298">
        <f>ROUND(M5*N5/100,2)</f>
        <v>223.67</v>
      </c>
      <c r="P5" s="297">
        <v>21</v>
      </c>
      <c r="Q5" s="297">
        <v>2000</v>
      </c>
      <c r="R5" s="298">
        <f>ROUND(IF(Q5&gt;=M5,O5,Q5*N5/100),2)+S5</f>
        <v>223.67</v>
      </c>
      <c r="S5" s="396"/>
      <c r="T5" s="301">
        <f>IF(Чорн!$R$1=1,H5,IF(Чорн!$R$1=2,H6,IF(Чорн!$R$1=3,H7,IF(Чорн!$R$1=4,H8,IF(Чорн!$R$1=5,H9,IF(Чорн!$R$1=6,H10,0))))))</f>
        <v>68</v>
      </c>
    </row>
    <row r="6" spans="1:20" ht="12" customHeight="1">
      <c r="A6" s="185">
        <v>2</v>
      </c>
      <c r="B6" s="296">
        <v>20</v>
      </c>
      <c r="C6" s="296">
        <v>1147</v>
      </c>
      <c r="D6" s="187">
        <v>6.8</v>
      </c>
      <c r="E6" s="298">
        <f aca="true" t="shared" si="0" ref="E6:E16">ROUND(C6*D6/100,2)</f>
        <v>78</v>
      </c>
      <c r="F6" s="297">
        <v>20</v>
      </c>
      <c r="G6" s="297">
        <v>2000</v>
      </c>
      <c r="H6" s="298">
        <f aca="true" t="shared" si="1" ref="H6:H16">ROUND(IF(G6&gt;=C6,E6,G6*D6/100),2)+I6</f>
        <v>78</v>
      </c>
      <c r="I6" s="396"/>
      <c r="K6" s="185">
        <v>2</v>
      </c>
      <c r="L6" s="296">
        <v>20</v>
      </c>
      <c r="M6" s="296">
        <v>1147</v>
      </c>
      <c r="N6" s="187">
        <v>19.5</v>
      </c>
      <c r="O6" s="298">
        <f aca="true" t="shared" si="2" ref="O6:O16">ROUND(M6*N6/100,2)</f>
        <v>223.67</v>
      </c>
      <c r="P6" s="297">
        <v>20</v>
      </c>
      <c r="Q6" s="297">
        <v>2000</v>
      </c>
      <c r="R6" s="298">
        <f aca="true" t="shared" si="3" ref="R6:R16">ROUND(IF(Q6&gt;=M6,O6,Q6*N6/100),2)+S6</f>
        <v>-80.01000000000002</v>
      </c>
      <c r="S6" s="396">
        <v>-303.68</v>
      </c>
      <c r="T6" s="651" t="s">
        <v>99</v>
      </c>
    </row>
    <row r="7" spans="1:21" ht="12" customHeight="1">
      <c r="A7" s="185">
        <v>3</v>
      </c>
      <c r="B7" s="296">
        <v>20</v>
      </c>
      <c r="C7" s="296">
        <v>1147</v>
      </c>
      <c r="D7" s="187"/>
      <c r="E7" s="298">
        <f t="shared" si="0"/>
        <v>0</v>
      </c>
      <c r="F7" s="297">
        <v>20</v>
      </c>
      <c r="G7" s="297">
        <v>2000</v>
      </c>
      <c r="H7" s="298">
        <f t="shared" si="1"/>
        <v>68</v>
      </c>
      <c r="I7" s="396">
        <v>68</v>
      </c>
      <c r="K7" s="185">
        <v>3</v>
      </c>
      <c r="L7" s="296">
        <v>20</v>
      </c>
      <c r="M7" s="296">
        <v>1147</v>
      </c>
      <c r="N7" s="187"/>
      <c r="O7" s="298">
        <f t="shared" si="2"/>
        <v>0</v>
      </c>
      <c r="P7" s="297">
        <v>20</v>
      </c>
      <c r="Q7" s="297">
        <v>2000</v>
      </c>
      <c r="R7" s="298">
        <f t="shared" si="3"/>
        <v>119.71</v>
      </c>
      <c r="S7" s="396">
        <v>119.71</v>
      </c>
      <c r="T7" s="651"/>
      <c r="U7" s="145"/>
    </row>
    <row r="8" spans="1:21" ht="12" customHeight="1">
      <c r="A8" s="185">
        <v>4</v>
      </c>
      <c r="B8" s="296">
        <v>22</v>
      </c>
      <c r="C8" s="296">
        <v>1147</v>
      </c>
      <c r="D8" s="187"/>
      <c r="E8" s="298">
        <f t="shared" si="0"/>
        <v>0</v>
      </c>
      <c r="F8" s="297">
        <v>22</v>
      </c>
      <c r="G8" s="297">
        <v>2000</v>
      </c>
      <c r="H8" s="298">
        <f t="shared" si="1"/>
        <v>0</v>
      </c>
      <c r="I8" s="396"/>
      <c r="K8" s="185">
        <v>4</v>
      </c>
      <c r="L8" s="296">
        <v>22</v>
      </c>
      <c r="M8" s="296">
        <v>1147</v>
      </c>
      <c r="N8" s="187"/>
      <c r="O8" s="298">
        <f t="shared" si="2"/>
        <v>0</v>
      </c>
      <c r="P8" s="297">
        <v>22</v>
      </c>
      <c r="Q8" s="297">
        <v>2000</v>
      </c>
      <c r="R8" s="298">
        <f t="shared" si="3"/>
        <v>0</v>
      </c>
      <c r="S8" s="396"/>
      <c r="T8" s="302">
        <f>IF(Чорн!$R$1=7,H11,IF(Чорн!$R$1=8,H12,IF(Чорн!$R$1=9,H13,IF(Чорн!$R$1=10,H14,IF(Чорн!$R$1=11,H15,IF(Чорн!$R$1=12,H16,0))))))</f>
        <v>0</v>
      </c>
      <c r="U8" s="145"/>
    </row>
    <row r="9" spans="1:21" ht="12" customHeight="1">
      <c r="A9" s="185">
        <v>5</v>
      </c>
      <c r="B9" s="296">
        <v>19</v>
      </c>
      <c r="C9" s="296">
        <v>1147</v>
      </c>
      <c r="D9" s="187"/>
      <c r="E9" s="298">
        <f t="shared" si="0"/>
        <v>0</v>
      </c>
      <c r="F9" s="297">
        <v>19</v>
      </c>
      <c r="G9" s="297">
        <v>2000</v>
      </c>
      <c r="H9" s="298">
        <f t="shared" si="1"/>
        <v>0</v>
      </c>
      <c r="I9" s="396"/>
      <c r="K9" s="185">
        <v>5</v>
      </c>
      <c r="L9" s="296">
        <v>19</v>
      </c>
      <c r="M9" s="296">
        <v>1147</v>
      </c>
      <c r="N9" s="187"/>
      <c r="O9" s="298">
        <f t="shared" si="2"/>
        <v>0</v>
      </c>
      <c r="P9" s="297">
        <v>19</v>
      </c>
      <c r="Q9" s="297">
        <v>2000</v>
      </c>
      <c r="R9" s="298">
        <f t="shared" si="3"/>
        <v>0</v>
      </c>
      <c r="S9" s="396"/>
      <c r="T9" s="146"/>
      <c r="U9" s="147"/>
    </row>
    <row r="10" spans="1:20" ht="12" customHeight="1">
      <c r="A10" s="185">
        <v>6</v>
      </c>
      <c r="B10" s="296">
        <v>18</v>
      </c>
      <c r="C10" s="296">
        <v>1147</v>
      </c>
      <c r="D10" s="187"/>
      <c r="E10" s="298">
        <f t="shared" si="0"/>
        <v>0</v>
      </c>
      <c r="F10" s="297">
        <v>18</v>
      </c>
      <c r="G10" s="297">
        <v>2000</v>
      </c>
      <c r="H10" s="298">
        <f t="shared" si="1"/>
        <v>0</v>
      </c>
      <c r="I10" s="396"/>
      <c r="K10" s="185">
        <v>6</v>
      </c>
      <c r="L10" s="296">
        <v>18</v>
      </c>
      <c r="M10" s="296">
        <v>1147</v>
      </c>
      <c r="N10" s="187"/>
      <c r="O10" s="298">
        <f t="shared" si="2"/>
        <v>0</v>
      </c>
      <c r="P10" s="297">
        <v>18</v>
      </c>
      <c r="Q10" s="297">
        <v>2000</v>
      </c>
      <c r="R10" s="298">
        <f t="shared" si="3"/>
        <v>0</v>
      </c>
      <c r="S10" s="396"/>
      <c r="T10" s="148"/>
    </row>
    <row r="11" spans="1:20" ht="12" customHeight="1">
      <c r="A11" s="185">
        <v>7</v>
      </c>
      <c r="B11" s="296">
        <v>23</v>
      </c>
      <c r="C11" s="296">
        <v>1147</v>
      </c>
      <c r="D11" s="187"/>
      <c r="E11" s="298">
        <f t="shared" si="0"/>
        <v>0</v>
      </c>
      <c r="F11" s="297">
        <v>23</v>
      </c>
      <c r="G11" s="297">
        <v>2000</v>
      </c>
      <c r="H11" s="298">
        <f t="shared" si="1"/>
        <v>0</v>
      </c>
      <c r="I11" s="396"/>
      <c r="K11" s="185">
        <v>7</v>
      </c>
      <c r="L11" s="296">
        <v>23</v>
      </c>
      <c r="M11" s="296">
        <v>1147</v>
      </c>
      <c r="N11" s="187"/>
      <c r="O11" s="298">
        <f t="shared" si="2"/>
        <v>0</v>
      </c>
      <c r="P11" s="297">
        <v>23</v>
      </c>
      <c r="Q11" s="297">
        <v>2000</v>
      </c>
      <c r="R11" s="298">
        <f t="shared" si="3"/>
        <v>0</v>
      </c>
      <c r="S11" s="396"/>
      <c r="T11" s="282">
        <f>K3</f>
        <v>0</v>
      </c>
    </row>
    <row r="12" spans="1:20" ht="12" customHeight="1">
      <c r="A12" s="185">
        <v>8</v>
      </c>
      <c r="B12" s="296">
        <v>21</v>
      </c>
      <c r="C12" s="296">
        <v>1147</v>
      </c>
      <c r="D12" s="187"/>
      <c r="E12" s="298">
        <f t="shared" si="0"/>
        <v>0</v>
      </c>
      <c r="F12" s="297">
        <v>21</v>
      </c>
      <c r="G12" s="297">
        <v>2000</v>
      </c>
      <c r="H12" s="298">
        <f t="shared" si="1"/>
        <v>0</v>
      </c>
      <c r="I12" s="396"/>
      <c r="K12" s="185">
        <v>8</v>
      </c>
      <c r="L12" s="296">
        <v>21</v>
      </c>
      <c r="M12" s="296">
        <v>1147</v>
      </c>
      <c r="N12" s="187"/>
      <c r="O12" s="298">
        <f t="shared" si="2"/>
        <v>0</v>
      </c>
      <c r="P12" s="297">
        <v>21</v>
      </c>
      <c r="Q12" s="297">
        <v>2000</v>
      </c>
      <c r="R12" s="298">
        <f>ROUND(IF(Q12&gt;=M12,O12,Q12*N12/100),2)+S12</f>
        <v>0</v>
      </c>
      <c r="S12" s="396"/>
      <c r="T12" s="652" t="s">
        <v>100</v>
      </c>
    </row>
    <row r="13" spans="1:20" ht="12" customHeight="1">
      <c r="A13" s="185">
        <v>9</v>
      </c>
      <c r="B13" s="296">
        <v>21</v>
      </c>
      <c r="C13" s="296">
        <v>1147</v>
      </c>
      <c r="D13" s="187"/>
      <c r="E13" s="298">
        <f t="shared" si="0"/>
        <v>0</v>
      </c>
      <c r="F13" s="297">
        <v>21</v>
      </c>
      <c r="G13" s="297">
        <v>2000</v>
      </c>
      <c r="H13" s="298">
        <f t="shared" si="1"/>
        <v>0</v>
      </c>
      <c r="I13" s="396"/>
      <c r="K13" s="185">
        <v>9</v>
      </c>
      <c r="L13" s="296">
        <v>21</v>
      </c>
      <c r="M13" s="296">
        <v>1147</v>
      </c>
      <c r="N13" s="187"/>
      <c r="O13" s="298">
        <f t="shared" si="2"/>
        <v>0</v>
      </c>
      <c r="P13" s="297">
        <v>21</v>
      </c>
      <c r="Q13" s="297">
        <v>2000</v>
      </c>
      <c r="R13" s="298">
        <f>ROUND(IF(Q13&gt;=M13,O13,Q13*N13/100),2)+S13</f>
        <v>0</v>
      </c>
      <c r="S13" s="396"/>
      <c r="T13" s="652"/>
    </row>
    <row r="14" spans="1:20" ht="12" customHeight="1">
      <c r="A14" s="185">
        <v>10</v>
      </c>
      <c r="B14" s="296">
        <v>23</v>
      </c>
      <c r="C14" s="296">
        <v>1147</v>
      </c>
      <c r="D14" s="187"/>
      <c r="E14" s="298">
        <f t="shared" si="0"/>
        <v>0</v>
      </c>
      <c r="F14" s="297">
        <v>23</v>
      </c>
      <c r="G14" s="297">
        <v>2000</v>
      </c>
      <c r="H14" s="298">
        <f t="shared" si="1"/>
        <v>0</v>
      </c>
      <c r="I14" s="396"/>
      <c r="K14" s="185">
        <v>10</v>
      </c>
      <c r="L14" s="296">
        <v>23</v>
      </c>
      <c r="M14" s="296">
        <v>1147</v>
      </c>
      <c r="N14" s="187"/>
      <c r="O14" s="298">
        <f t="shared" si="2"/>
        <v>0</v>
      </c>
      <c r="P14" s="297">
        <v>23</v>
      </c>
      <c r="Q14" s="297">
        <v>2000</v>
      </c>
      <c r="R14" s="298">
        <f t="shared" si="3"/>
        <v>0</v>
      </c>
      <c r="S14" s="396"/>
      <c r="T14" s="301">
        <f>IF(Чорн!$R$1=1,R5,IF(Чорн!$R$1=2,R6,IF(Чорн!$R$1=3,R7,IF(Чорн!$R$1=4,R8,IF(Чорн!$R$1=5,R9,IF(Чорн!$R$1=6,R10,0))))))</f>
        <v>119.71</v>
      </c>
    </row>
    <row r="15" spans="1:20" ht="12" customHeight="1">
      <c r="A15" s="185">
        <v>11</v>
      </c>
      <c r="B15" s="296">
        <v>21</v>
      </c>
      <c r="C15" s="296">
        <v>1147</v>
      </c>
      <c r="D15" s="187"/>
      <c r="E15" s="298">
        <f t="shared" si="0"/>
        <v>0</v>
      </c>
      <c r="F15" s="297">
        <v>21</v>
      </c>
      <c r="G15" s="297">
        <v>2000</v>
      </c>
      <c r="H15" s="298">
        <f t="shared" si="1"/>
        <v>0</v>
      </c>
      <c r="I15" s="396"/>
      <c r="K15" s="185">
        <v>11</v>
      </c>
      <c r="L15" s="296">
        <v>21</v>
      </c>
      <c r="M15" s="296">
        <v>1147</v>
      </c>
      <c r="N15" s="187"/>
      <c r="O15" s="298">
        <f t="shared" si="2"/>
        <v>0</v>
      </c>
      <c r="P15" s="297">
        <v>21</v>
      </c>
      <c r="Q15" s="297">
        <v>2000</v>
      </c>
      <c r="R15" s="298">
        <f t="shared" si="3"/>
        <v>0</v>
      </c>
      <c r="S15" s="396"/>
      <c r="T15" s="651" t="s">
        <v>99</v>
      </c>
    </row>
    <row r="16" spans="1:20" ht="12" customHeight="1">
      <c r="A16" s="185">
        <v>12</v>
      </c>
      <c r="B16" s="296">
        <v>22</v>
      </c>
      <c r="C16" s="296">
        <v>1218</v>
      </c>
      <c r="D16" s="187"/>
      <c r="E16" s="298">
        <f t="shared" si="0"/>
        <v>0</v>
      </c>
      <c r="F16" s="297">
        <v>22</v>
      </c>
      <c r="G16" s="297">
        <v>2000</v>
      </c>
      <c r="H16" s="298">
        <f t="shared" si="1"/>
        <v>0</v>
      </c>
      <c r="I16" s="396"/>
      <c r="K16" s="185">
        <v>12</v>
      </c>
      <c r="L16" s="296">
        <v>22</v>
      </c>
      <c r="M16" s="296">
        <v>1218</v>
      </c>
      <c r="N16" s="187"/>
      <c r="O16" s="298">
        <f t="shared" si="2"/>
        <v>0</v>
      </c>
      <c r="P16" s="297">
        <v>22</v>
      </c>
      <c r="Q16" s="297">
        <v>2000</v>
      </c>
      <c r="R16" s="298">
        <f t="shared" si="3"/>
        <v>0</v>
      </c>
      <c r="S16" s="396"/>
      <c r="T16" s="651"/>
    </row>
    <row r="17" spans="1:20" ht="12" customHeight="1">
      <c r="A17" s="186" t="s">
        <v>62</v>
      </c>
      <c r="B17" s="296">
        <f>SUM(B5:B16)</f>
        <v>251</v>
      </c>
      <c r="C17" s="296"/>
      <c r="D17" s="185"/>
      <c r="E17" s="298">
        <f>SUM(E5:E16)</f>
        <v>156</v>
      </c>
      <c r="F17" s="296">
        <f>SUM(F5:F16)</f>
        <v>251</v>
      </c>
      <c r="G17" s="296">
        <f>SUM(G5:G16)</f>
        <v>24000</v>
      </c>
      <c r="H17" s="298">
        <f>SUM(H5:H16)</f>
        <v>224</v>
      </c>
      <c r="I17" s="298"/>
      <c r="K17" s="186" t="s">
        <v>62</v>
      </c>
      <c r="L17" s="296">
        <f>SUM(L5:L16)</f>
        <v>251</v>
      </c>
      <c r="M17" s="296"/>
      <c r="N17" s="185"/>
      <c r="O17" s="298">
        <f>SUM(O5:O16)</f>
        <v>447.34</v>
      </c>
      <c r="P17" s="296">
        <f>SUM(P5:P16)</f>
        <v>251</v>
      </c>
      <c r="Q17" s="296">
        <f>SUM(Q5:Q16)</f>
        <v>24000</v>
      </c>
      <c r="R17" s="298">
        <f>SUM(R5:R16)</f>
        <v>263.36999999999995</v>
      </c>
      <c r="S17" s="298"/>
      <c r="T17" s="303">
        <f>IF(Чорн!$R$1=7,R11,IF(Чорн!$R$1=8,R12,IF(Чорн!$R$1=9,R13,IF(Чорн!$R$1=10,R14,IF(Чорн!$R$1=11,R15,IF(Чорн!$R$1=12,R16,0))))))</f>
        <v>0</v>
      </c>
    </row>
    <row r="18" spans="1:19" s="220" customFormat="1" ht="12" customHeight="1">
      <c r="A18" s="300"/>
      <c r="B18" s="300"/>
      <c r="C18" s="300"/>
      <c r="D18" s="300"/>
      <c r="E18" s="300"/>
      <c r="F18" s="300"/>
      <c r="G18" s="300"/>
      <c r="H18" s="300"/>
      <c r="I18" s="299"/>
      <c r="K18" s="300"/>
      <c r="L18" s="300"/>
      <c r="M18" s="300"/>
      <c r="N18" s="300"/>
      <c r="O18" s="300"/>
      <c r="P18" s="300"/>
      <c r="Q18" s="300"/>
      <c r="R18" s="300"/>
      <c r="S18" s="281"/>
    </row>
    <row r="19" spans="1:19" s="220" customFormat="1" ht="12" customHeight="1">
      <c r="A19" s="28"/>
      <c r="B19" s="28"/>
      <c r="C19" s="28"/>
      <c r="D19" s="28"/>
      <c r="E19" s="28"/>
      <c r="F19" s="28"/>
      <c r="G19" s="28"/>
      <c r="H19" s="28"/>
      <c r="I19" s="299"/>
      <c r="K19" s="28"/>
      <c r="L19" s="28"/>
      <c r="M19" s="28"/>
      <c r="N19" s="28"/>
      <c r="O19" s="28"/>
      <c r="P19" s="28"/>
      <c r="Q19" s="28"/>
      <c r="R19" s="28"/>
      <c r="S19" s="281"/>
    </row>
    <row r="20" spans="1:19" ht="12" customHeight="1">
      <c r="A20" s="246"/>
      <c r="B20" s="246"/>
      <c r="C20" s="246"/>
      <c r="D20" s="246"/>
      <c r="E20" s="246"/>
      <c r="F20" s="246"/>
      <c r="G20" s="246"/>
      <c r="H20" s="246"/>
      <c r="I20" s="281"/>
      <c r="K20" s="246"/>
      <c r="L20" s="246"/>
      <c r="M20" s="246"/>
      <c r="N20" s="246"/>
      <c r="O20" s="246"/>
      <c r="P20" s="246"/>
      <c r="Q20" s="246"/>
      <c r="R20" s="246"/>
      <c r="S20" s="281"/>
    </row>
    <row r="21" ht="12" customHeight="1"/>
    <row r="22" spans="1:20" ht="12" customHeight="1">
      <c r="A22" s="654">
        <f>Чорн!C10</f>
        <v>0</v>
      </c>
      <c r="B22" s="655"/>
      <c r="C22" s="655"/>
      <c r="D22" s="655"/>
      <c r="E22" s="655"/>
      <c r="F22" s="655"/>
      <c r="G22" s="655"/>
      <c r="H22" s="655"/>
      <c r="I22" s="656"/>
      <c r="K22" s="654">
        <f>Чорн!C11</f>
        <v>0</v>
      </c>
      <c r="L22" s="655"/>
      <c r="M22" s="655"/>
      <c r="N22" s="655"/>
      <c r="O22" s="655"/>
      <c r="P22" s="655"/>
      <c r="Q22" s="655"/>
      <c r="R22" s="655"/>
      <c r="S22" s="656"/>
      <c r="T22" s="282">
        <f>A22</f>
        <v>0</v>
      </c>
    </row>
    <row r="23" spans="1:20" ht="45" customHeight="1">
      <c r="A23" s="143" t="s">
        <v>169</v>
      </c>
      <c r="B23" s="143" t="s">
        <v>170</v>
      </c>
      <c r="C23" s="143" t="s">
        <v>12</v>
      </c>
      <c r="D23" s="143" t="s">
        <v>171</v>
      </c>
      <c r="E23" s="143" t="s">
        <v>172</v>
      </c>
      <c r="F23" s="143" t="s">
        <v>173</v>
      </c>
      <c r="G23" s="143" t="s">
        <v>174</v>
      </c>
      <c r="H23" s="143" t="s">
        <v>175</v>
      </c>
      <c r="I23" s="143" t="s">
        <v>176</v>
      </c>
      <c r="K23" s="143" t="s">
        <v>169</v>
      </c>
      <c r="L23" s="143" t="s">
        <v>170</v>
      </c>
      <c r="M23" s="143" t="s">
        <v>12</v>
      </c>
      <c r="N23" s="143" t="s">
        <v>171</v>
      </c>
      <c r="O23" s="143" t="s">
        <v>172</v>
      </c>
      <c r="P23" s="143" t="s">
        <v>173</v>
      </c>
      <c r="Q23" s="143" t="s">
        <v>174</v>
      </c>
      <c r="R23" s="143" t="s">
        <v>175</v>
      </c>
      <c r="S23" s="143" t="s">
        <v>176</v>
      </c>
      <c r="T23" s="128" t="s">
        <v>100</v>
      </c>
    </row>
    <row r="24" spans="1:20" ht="12" customHeight="1">
      <c r="A24" s="185">
        <v>1</v>
      </c>
      <c r="B24" s="296">
        <v>21</v>
      </c>
      <c r="C24" s="296">
        <v>1147</v>
      </c>
      <c r="D24" s="187">
        <v>50.2</v>
      </c>
      <c r="E24" s="298">
        <f>ROUND(C24*D24/100,2)</f>
        <v>575.79</v>
      </c>
      <c r="F24" s="297">
        <v>21</v>
      </c>
      <c r="G24" s="297">
        <v>2000</v>
      </c>
      <c r="H24" s="298">
        <f>ROUND(IF(G24&gt;=C24,E24,G24*D24/100),2)+I24</f>
        <v>519.63</v>
      </c>
      <c r="I24" s="396">
        <v>-56.16</v>
      </c>
      <c r="K24" s="185">
        <v>1</v>
      </c>
      <c r="L24" s="296">
        <v>21</v>
      </c>
      <c r="M24" s="296">
        <v>1147</v>
      </c>
      <c r="N24" s="187"/>
      <c r="O24" s="298">
        <f>ROUND(M24*N24/100,2)</f>
        <v>0</v>
      </c>
      <c r="P24" s="297">
        <v>21</v>
      </c>
      <c r="Q24" s="297">
        <v>2000</v>
      </c>
      <c r="R24" s="298">
        <f>ROUND(IF(Q24&gt;=M24,O24,Q24*N24/100),2)+S24</f>
        <v>0</v>
      </c>
      <c r="S24" s="396"/>
      <c r="T24" s="301">
        <f>IF(Чорн!$R$1=1,H24,IF(Чорн!$R$1=2,H25,IF(Чорн!$R$1=3,H26,IF(Чорн!$R$1=4,H27,IF(Чорн!$R$1=5,H28,IF(Чорн!$R$1=6,H29,0))))))</f>
        <v>575.79</v>
      </c>
    </row>
    <row r="25" spans="1:20" ht="12" customHeight="1">
      <c r="A25" s="185">
        <v>2</v>
      </c>
      <c r="B25" s="296">
        <v>20</v>
      </c>
      <c r="C25" s="296">
        <v>1147</v>
      </c>
      <c r="D25" s="187">
        <v>50.2</v>
      </c>
      <c r="E25" s="298">
        <f aca="true" t="shared" si="4" ref="E25:E35">ROUND(C25*D25/100,2)</f>
        <v>575.79</v>
      </c>
      <c r="F25" s="297">
        <v>20</v>
      </c>
      <c r="G25" s="297">
        <v>2000</v>
      </c>
      <c r="H25" s="298">
        <f aca="true" t="shared" si="5" ref="H25:H35">ROUND(IF(G25&gt;=C25,E25,G25*D25/100),2)+I25</f>
        <v>631.9499999999999</v>
      </c>
      <c r="I25" s="396">
        <v>56.16</v>
      </c>
      <c r="K25" s="185">
        <v>2</v>
      </c>
      <c r="L25" s="296">
        <v>20</v>
      </c>
      <c r="M25" s="296">
        <v>1147</v>
      </c>
      <c r="N25" s="187"/>
      <c r="O25" s="298">
        <f aca="true" t="shared" si="6" ref="O25:O35">ROUND(M25*N25/100,2)</f>
        <v>0</v>
      </c>
      <c r="P25" s="297">
        <v>20</v>
      </c>
      <c r="Q25" s="297">
        <v>2000</v>
      </c>
      <c r="R25" s="298">
        <f aca="true" t="shared" si="7" ref="R25:R35">ROUND(IF(Q25&gt;=M25,O25,Q25*N25/100),2)+S25</f>
        <v>0</v>
      </c>
      <c r="S25" s="396"/>
      <c r="T25" s="651" t="s">
        <v>99</v>
      </c>
    </row>
    <row r="26" spans="1:20" ht="12" customHeight="1">
      <c r="A26" s="185">
        <v>3</v>
      </c>
      <c r="B26" s="296">
        <v>20</v>
      </c>
      <c r="C26" s="296">
        <v>1147</v>
      </c>
      <c r="D26" s="187">
        <v>50.2</v>
      </c>
      <c r="E26" s="298">
        <f t="shared" si="4"/>
        <v>575.79</v>
      </c>
      <c r="F26" s="297">
        <v>20</v>
      </c>
      <c r="G26" s="297">
        <v>2000</v>
      </c>
      <c r="H26" s="298">
        <f t="shared" si="5"/>
        <v>575.79</v>
      </c>
      <c r="I26" s="396"/>
      <c r="K26" s="185">
        <v>3</v>
      </c>
      <c r="L26" s="296">
        <v>20</v>
      </c>
      <c r="M26" s="296">
        <v>1147</v>
      </c>
      <c r="N26" s="187"/>
      <c r="O26" s="298">
        <f t="shared" si="6"/>
        <v>0</v>
      </c>
      <c r="P26" s="297">
        <v>20</v>
      </c>
      <c r="Q26" s="297">
        <v>2000</v>
      </c>
      <c r="R26" s="298">
        <f t="shared" si="7"/>
        <v>0</v>
      </c>
      <c r="S26" s="396"/>
      <c r="T26" s="651"/>
    </row>
    <row r="27" spans="1:20" ht="12" customHeight="1">
      <c r="A27" s="185">
        <v>4</v>
      </c>
      <c r="B27" s="296">
        <v>22</v>
      </c>
      <c r="C27" s="296">
        <v>1147</v>
      </c>
      <c r="D27" s="187"/>
      <c r="E27" s="298">
        <f t="shared" si="4"/>
        <v>0</v>
      </c>
      <c r="F27" s="297">
        <v>22</v>
      </c>
      <c r="G27" s="297">
        <v>2000</v>
      </c>
      <c r="H27" s="298">
        <f t="shared" si="5"/>
        <v>0</v>
      </c>
      <c r="I27" s="396"/>
      <c r="K27" s="185">
        <v>4</v>
      </c>
      <c r="L27" s="296">
        <v>22</v>
      </c>
      <c r="M27" s="296">
        <v>1147</v>
      </c>
      <c r="N27" s="187"/>
      <c r="O27" s="298">
        <f t="shared" si="6"/>
        <v>0</v>
      </c>
      <c r="P27" s="297">
        <v>22</v>
      </c>
      <c r="Q27" s="297">
        <v>2000</v>
      </c>
      <c r="R27" s="298">
        <f t="shared" si="7"/>
        <v>0</v>
      </c>
      <c r="S27" s="396"/>
      <c r="T27" s="302">
        <f>IF(Чорн!$R$1=7,H30,IF(Чорн!$R$1=8,H31,IF(Чорн!$R$1=9,H32,IF(Чорн!$R$1=10,H33,IF(Чорн!$R$1=11,H34,IF(Чорн!$R$1=12,H35,0))))))</f>
        <v>0</v>
      </c>
    </row>
    <row r="28" spans="1:20" ht="12" customHeight="1">
      <c r="A28" s="185">
        <v>5</v>
      </c>
      <c r="B28" s="296">
        <v>19</v>
      </c>
      <c r="C28" s="296">
        <v>1147</v>
      </c>
      <c r="D28" s="187"/>
      <c r="E28" s="298">
        <f t="shared" si="4"/>
        <v>0</v>
      </c>
      <c r="F28" s="297">
        <v>19</v>
      </c>
      <c r="G28" s="297">
        <v>2000</v>
      </c>
      <c r="H28" s="298">
        <f t="shared" si="5"/>
        <v>0</v>
      </c>
      <c r="I28" s="396"/>
      <c r="K28" s="185">
        <v>5</v>
      </c>
      <c r="L28" s="296">
        <v>19</v>
      </c>
      <c r="M28" s="296">
        <v>1147</v>
      </c>
      <c r="N28" s="187"/>
      <c r="O28" s="298">
        <f t="shared" si="6"/>
        <v>0</v>
      </c>
      <c r="P28" s="297">
        <v>19</v>
      </c>
      <c r="Q28" s="297">
        <v>2000</v>
      </c>
      <c r="R28" s="298">
        <f t="shared" si="7"/>
        <v>0</v>
      </c>
      <c r="S28" s="396"/>
      <c r="T28" s="146"/>
    </row>
    <row r="29" spans="1:20" ht="12" customHeight="1">
      <c r="A29" s="185">
        <v>6</v>
      </c>
      <c r="B29" s="296">
        <v>18</v>
      </c>
      <c r="C29" s="296">
        <v>1147</v>
      </c>
      <c r="D29" s="187"/>
      <c r="E29" s="298">
        <f t="shared" si="4"/>
        <v>0</v>
      </c>
      <c r="F29" s="297">
        <v>18</v>
      </c>
      <c r="G29" s="297">
        <v>2000</v>
      </c>
      <c r="H29" s="298">
        <f t="shared" si="5"/>
        <v>0</v>
      </c>
      <c r="I29" s="396"/>
      <c r="K29" s="185">
        <v>6</v>
      </c>
      <c r="L29" s="296">
        <v>18</v>
      </c>
      <c r="M29" s="296">
        <v>1147</v>
      </c>
      <c r="N29" s="187"/>
      <c r="O29" s="298">
        <f t="shared" si="6"/>
        <v>0</v>
      </c>
      <c r="P29" s="297">
        <v>18</v>
      </c>
      <c r="Q29" s="297">
        <v>2000</v>
      </c>
      <c r="R29" s="298">
        <f t="shared" si="7"/>
        <v>0</v>
      </c>
      <c r="S29" s="396"/>
      <c r="T29" s="148"/>
    </row>
    <row r="30" spans="1:20" ht="12" customHeight="1">
      <c r="A30" s="185">
        <v>7</v>
      </c>
      <c r="B30" s="296">
        <v>23</v>
      </c>
      <c r="C30" s="296">
        <v>1147</v>
      </c>
      <c r="D30" s="187"/>
      <c r="E30" s="298">
        <f t="shared" si="4"/>
        <v>0</v>
      </c>
      <c r="F30" s="297">
        <v>23</v>
      </c>
      <c r="G30" s="297">
        <v>2000</v>
      </c>
      <c r="H30" s="298">
        <f t="shared" si="5"/>
        <v>0</v>
      </c>
      <c r="I30" s="396"/>
      <c r="K30" s="185">
        <v>7</v>
      </c>
      <c r="L30" s="296">
        <v>23</v>
      </c>
      <c r="M30" s="296">
        <v>1147</v>
      </c>
      <c r="N30" s="187"/>
      <c r="O30" s="298">
        <f t="shared" si="6"/>
        <v>0</v>
      </c>
      <c r="P30" s="297">
        <v>23</v>
      </c>
      <c r="Q30" s="297">
        <v>2000</v>
      </c>
      <c r="R30" s="298">
        <f t="shared" si="7"/>
        <v>0</v>
      </c>
      <c r="S30" s="396"/>
      <c r="T30" s="282">
        <f>K22</f>
        <v>0</v>
      </c>
    </row>
    <row r="31" spans="1:20" ht="12" customHeight="1">
      <c r="A31" s="185">
        <v>8</v>
      </c>
      <c r="B31" s="296">
        <v>21</v>
      </c>
      <c r="C31" s="296">
        <v>1147</v>
      </c>
      <c r="D31" s="187"/>
      <c r="E31" s="298">
        <f t="shared" si="4"/>
        <v>0</v>
      </c>
      <c r="F31" s="297">
        <v>21</v>
      </c>
      <c r="G31" s="297">
        <v>2000</v>
      </c>
      <c r="H31" s="298">
        <f t="shared" si="5"/>
        <v>0</v>
      </c>
      <c r="I31" s="396"/>
      <c r="K31" s="185">
        <v>8</v>
      </c>
      <c r="L31" s="296">
        <v>21</v>
      </c>
      <c r="M31" s="296">
        <v>1147</v>
      </c>
      <c r="N31" s="187"/>
      <c r="O31" s="298">
        <f t="shared" si="6"/>
        <v>0</v>
      </c>
      <c r="P31" s="297">
        <v>21</v>
      </c>
      <c r="Q31" s="297">
        <v>2000</v>
      </c>
      <c r="R31" s="298">
        <f t="shared" si="7"/>
        <v>0</v>
      </c>
      <c r="S31" s="396"/>
      <c r="T31" s="652" t="s">
        <v>100</v>
      </c>
    </row>
    <row r="32" spans="1:20" ht="12" customHeight="1">
      <c r="A32" s="185">
        <v>9</v>
      </c>
      <c r="B32" s="296">
        <v>21</v>
      </c>
      <c r="C32" s="296">
        <v>1147</v>
      </c>
      <c r="D32" s="187"/>
      <c r="E32" s="298">
        <f t="shared" si="4"/>
        <v>0</v>
      </c>
      <c r="F32" s="297">
        <v>21</v>
      </c>
      <c r="G32" s="297">
        <v>2000</v>
      </c>
      <c r="H32" s="298">
        <f t="shared" si="5"/>
        <v>0</v>
      </c>
      <c r="I32" s="396"/>
      <c r="K32" s="185">
        <v>9</v>
      </c>
      <c r="L32" s="296">
        <v>21</v>
      </c>
      <c r="M32" s="296">
        <v>1147</v>
      </c>
      <c r="N32" s="187"/>
      <c r="O32" s="298">
        <f t="shared" si="6"/>
        <v>0</v>
      </c>
      <c r="P32" s="297">
        <v>21</v>
      </c>
      <c r="Q32" s="297">
        <v>2000</v>
      </c>
      <c r="R32" s="298">
        <f t="shared" si="7"/>
        <v>0</v>
      </c>
      <c r="S32" s="396"/>
      <c r="T32" s="652"/>
    </row>
    <row r="33" spans="1:20" ht="12" customHeight="1">
      <c r="A33" s="185">
        <v>10</v>
      </c>
      <c r="B33" s="296">
        <v>23</v>
      </c>
      <c r="C33" s="296">
        <v>1147</v>
      </c>
      <c r="D33" s="187"/>
      <c r="E33" s="298">
        <f t="shared" si="4"/>
        <v>0</v>
      </c>
      <c r="F33" s="297">
        <v>23</v>
      </c>
      <c r="G33" s="297">
        <v>2000</v>
      </c>
      <c r="H33" s="298">
        <f t="shared" si="5"/>
        <v>0</v>
      </c>
      <c r="I33" s="396"/>
      <c r="K33" s="185">
        <v>10</v>
      </c>
      <c r="L33" s="296">
        <v>23</v>
      </c>
      <c r="M33" s="296">
        <v>1147</v>
      </c>
      <c r="N33" s="187"/>
      <c r="O33" s="298">
        <f t="shared" si="6"/>
        <v>0</v>
      </c>
      <c r="P33" s="297">
        <v>23</v>
      </c>
      <c r="Q33" s="297">
        <v>2000</v>
      </c>
      <c r="R33" s="298">
        <f t="shared" si="7"/>
        <v>0</v>
      </c>
      <c r="S33" s="396"/>
      <c r="T33" s="301">
        <f>IF(Чорн!$R$1=1,R24,IF(Чорн!$R$1=2,R25,IF(Чорн!$R$1=3,R26,IF(Чорн!$R$1=4,R27,IF(Чорн!$R$1=5,R28,IF(Чорн!$R$1=6,R29,0))))))</f>
        <v>0</v>
      </c>
    </row>
    <row r="34" spans="1:20" ht="12" customHeight="1">
      <c r="A34" s="185">
        <v>11</v>
      </c>
      <c r="B34" s="296">
        <v>21</v>
      </c>
      <c r="C34" s="296">
        <v>1147</v>
      </c>
      <c r="D34" s="187"/>
      <c r="E34" s="298">
        <f t="shared" si="4"/>
        <v>0</v>
      </c>
      <c r="F34" s="297">
        <v>21</v>
      </c>
      <c r="G34" s="297">
        <v>2000</v>
      </c>
      <c r="H34" s="298">
        <f t="shared" si="5"/>
        <v>0</v>
      </c>
      <c r="I34" s="396"/>
      <c r="K34" s="185">
        <v>11</v>
      </c>
      <c r="L34" s="296">
        <v>21</v>
      </c>
      <c r="M34" s="296">
        <v>1147</v>
      </c>
      <c r="N34" s="187"/>
      <c r="O34" s="298">
        <f t="shared" si="6"/>
        <v>0</v>
      </c>
      <c r="P34" s="297">
        <v>21</v>
      </c>
      <c r="Q34" s="297">
        <v>2000</v>
      </c>
      <c r="R34" s="298">
        <f t="shared" si="7"/>
        <v>0</v>
      </c>
      <c r="S34" s="396"/>
      <c r="T34" s="651" t="s">
        <v>99</v>
      </c>
    </row>
    <row r="35" spans="1:20" ht="12" customHeight="1">
      <c r="A35" s="185">
        <v>12</v>
      </c>
      <c r="B35" s="296">
        <v>22</v>
      </c>
      <c r="C35" s="296">
        <v>1218</v>
      </c>
      <c r="D35" s="187"/>
      <c r="E35" s="298">
        <f t="shared" si="4"/>
        <v>0</v>
      </c>
      <c r="F35" s="297">
        <v>22</v>
      </c>
      <c r="G35" s="297">
        <v>2000</v>
      </c>
      <c r="H35" s="298">
        <f t="shared" si="5"/>
        <v>0</v>
      </c>
      <c r="I35" s="396"/>
      <c r="K35" s="185">
        <v>12</v>
      </c>
      <c r="L35" s="296">
        <v>22</v>
      </c>
      <c r="M35" s="296">
        <v>1218</v>
      </c>
      <c r="N35" s="187"/>
      <c r="O35" s="298">
        <f t="shared" si="6"/>
        <v>0</v>
      </c>
      <c r="P35" s="297">
        <v>22</v>
      </c>
      <c r="Q35" s="297">
        <v>2000</v>
      </c>
      <c r="R35" s="298">
        <f t="shared" si="7"/>
        <v>0</v>
      </c>
      <c r="S35" s="396"/>
      <c r="T35" s="651"/>
    </row>
    <row r="36" spans="1:20" ht="12" customHeight="1">
      <c r="A36" s="186" t="s">
        <v>62</v>
      </c>
      <c r="B36" s="296">
        <f>SUM(B24:B35)</f>
        <v>251</v>
      </c>
      <c r="C36" s="296"/>
      <c r="D36" s="185"/>
      <c r="E36" s="298">
        <f>SUM(E24:E35)</f>
        <v>1727.37</v>
      </c>
      <c r="F36" s="296">
        <f>SUM(F24:F35)</f>
        <v>251</v>
      </c>
      <c r="G36" s="296">
        <f>SUM(G24:G35)</f>
        <v>24000</v>
      </c>
      <c r="H36" s="298">
        <f>SUM(H24:H35)</f>
        <v>1727.37</v>
      </c>
      <c r="I36" s="298"/>
      <c r="K36" s="186" t="s">
        <v>62</v>
      </c>
      <c r="L36" s="296">
        <f>SUM(L24:L35)</f>
        <v>251</v>
      </c>
      <c r="M36" s="296"/>
      <c r="N36" s="185"/>
      <c r="O36" s="298">
        <f>SUM(O24:O35)</f>
        <v>0</v>
      </c>
      <c r="P36" s="296">
        <f>SUM(P24:P35)</f>
        <v>251</v>
      </c>
      <c r="Q36" s="296">
        <f>SUM(Q24:Q35)</f>
        <v>24000</v>
      </c>
      <c r="R36" s="298">
        <f>SUM(R24:R35)</f>
        <v>0</v>
      </c>
      <c r="S36" s="298"/>
      <c r="T36" s="303">
        <f>IF(Чорн!$R$1=7,R30,IF(Чорн!$R$1=8,R31,IF(Чорн!$R$1=9,R32,IF(Чорн!$R$1=10,R33,IF(Чорн!$R$1=11,R34,IF(Чорн!$R$1=12,R35,0))))))</f>
        <v>0</v>
      </c>
    </row>
    <row r="37" spans="1:19" ht="12" customHeight="1">
      <c r="A37" s="246"/>
      <c r="B37" s="246"/>
      <c r="C37" s="246"/>
      <c r="D37" s="246"/>
      <c r="E37" s="246"/>
      <c r="F37" s="246"/>
      <c r="G37" s="246"/>
      <c r="H37" s="246"/>
      <c r="I37" s="281"/>
      <c r="K37" s="246"/>
      <c r="L37" s="246"/>
      <c r="M37" s="246"/>
      <c r="N37" s="246"/>
      <c r="O37" s="246"/>
      <c r="P37" s="246"/>
      <c r="Q37" s="246"/>
      <c r="R37" s="246"/>
      <c r="S37" s="281"/>
    </row>
    <row r="38" spans="1:19" ht="12" customHeight="1">
      <c r="A38" s="246"/>
      <c r="B38" s="246"/>
      <c r="C38" s="246"/>
      <c r="D38" s="246"/>
      <c r="E38" s="246"/>
      <c r="F38" s="246"/>
      <c r="G38" s="246"/>
      <c r="H38" s="246"/>
      <c r="I38" s="281"/>
      <c r="K38" s="246"/>
      <c r="L38" s="246"/>
      <c r="M38" s="246"/>
      <c r="N38" s="246"/>
      <c r="O38" s="246"/>
      <c r="P38" s="246"/>
      <c r="Q38" s="246"/>
      <c r="R38" s="246"/>
      <c r="S38" s="281"/>
    </row>
    <row r="39" spans="1:19" ht="12" customHeight="1">
      <c r="A39" s="246"/>
      <c r="B39" s="246"/>
      <c r="C39" s="246"/>
      <c r="D39" s="246"/>
      <c r="E39" s="246"/>
      <c r="F39" s="246"/>
      <c r="G39" s="246"/>
      <c r="H39" s="246"/>
      <c r="I39" s="281"/>
      <c r="K39" s="246"/>
      <c r="L39" s="246"/>
      <c r="M39" s="246"/>
      <c r="N39" s="246"/>
      <c r="O39" s="246"/>
      <c r="P39" s="246"/>
      <c r="Q39" s="246"/>
      <c r="R39" s="246"/>
      <c r="S39" s="281"/>
    </row>
    <row r="40" spans="1:19" ht="12" customHeight="1">
      <c r="A40" s="246"/>
      <c r="B40" s="246"/>
      <c r="C40" s="246"/>
      <c r="D40" s="246"/>
      <c r="E40" s="246"/>
      <c r="F40" s="246"/>
      <c r="G40" s="246"/>
      <c r="H40" s="246"/>
      <c r="I40" s="281"/>
      <c r="K40" s="246"/>
      <c r="L40" s="246"/>
      <c r="M40" s="246"/>
      <c r="N40" s="246"/>
      <c r="O40" s="246"/>
      <c r="P40" s="246"/>
      <c r="Q40" s="246"/>
      <c r="R40" s="246"/>
      <c r="S40" s="281"/>
    </row>
    <row r="42" spans="1:23" ht="12.75">
      <c r="A42" s="654">
        <f>Чорн!C12</f>
        <v>0</v>
      </c>
      <c r="B42" s="655"/>
      <c r="C42" s="655"/>
      <c r="D42" s="655"/>
      <c r="E42" s="655"/>
      <c r="F42" s="655"/>
      <c r="G42" s="655"/>
      <c r="H42" s="655"/>
      <c r="I42" s="656"/>
      <c r="K42" s="653">
        <f>Чорн!C13</f>
        <v>0</v>
      </c>
      <c r="L42" s="653"/>
      <c r="M42" s="653"/>
      <c r="N42" s="653"/>
      <c r="O42" s="653"/>
      <c r="P42" s="653"/>
      <c r="Q42" s="653"/>
      <c r="R42" s="653"/>
      <c r="S42" s="654"/>
      <c r="T42" s="282">
        <f>A42</f>
        <v>0</v>
      </c>
      <c r="U42" s="141"/>
      <c r="V42" s="142"/>
      <c r="W42" s="142"/>
    </row>
    <row r="43" spans="1:20" ht="45" customHeight="1">
      <c r="A43" s="143" t="s">
        <v>169</v>
      </c>
      <c r="B43" s="143" t="s">
        <v>170</v>
      </c>
      <c r="C43" s="143" t="s">
        <v>12</v>
      </c>
      <c r="D43" s="143" t="s">
        <v>171</v>
      </c>
      <c r="E43" s="143" t="s">
        <v>172</v>
      </c>
      <c r="F43" s="143" t="s">
        <v>173</v>
      </c>
      <c r="G43" s="143" t="s">
        <v>174</v>
      </c>
      <c r="H43" s="143" t="s">
        <v>175</v>
      </c>
      <c r="I43" s="143" t="s">
        <v>176</v>
      </c>
      <c r="J43" s="144"/>
      <c r="K43" s="143" t="s">
        <v>169</v>
      </c>
      <c r="L43" s="143" t="s">
        <v>170</v>
      </c>
      <c r="M43" s="143" t="s">
        <v>12</v>
      </c>
      <c r="N43" s="143" t="s">
        <v>171</v>
      </c>
      <c r="O43" s="143" t="s">
        <v>172</v>
      </c>
      <c r="P43" s="143" t="s">
        <v>173</v>
      </c>
      <c r="Q43" s="143" t="s">
        <v>174</v>
      </c>
      <c r="R43" s="143" t="s">
        <v>175</v>
      </c>
      <c r="S43" s="143" t="s">
        <v>176</v>
      </c>
      <c r="T43" s="128" t="s">
        <v>100</v>
      </c>
    </row>
    <row r="44" spans="1:20" ht="12" customHeight="1">
      <c r="A44" s="185">
        <v>1</v>
      </c>
      <c r="B44" s="296">
        <v>21</v>
      </c>
      <c r="C44" s="296">
        <v>1147</v>
      </c>
      <c r="D44" s="187"/>
      <c r="E44" s="298">
        <f>ROUND(C44*D44/100,2)</f>
        <v>0</v>
      </c>
      <c r="F44" s="297">
        <v>21</v>
      </c>
      <c r="G44" s="297">
        <v>2000</v>
      </c>
      <c r="H44" s="298">
        <f>ROUND(IF(G44&gt;=C44,E44,G44*D44/100),2)+I44</f>
        <v>0</v>
      </c>
      <c r="I44" s="396"/>
      <c r="K44" s="185">
        <v>1</v>
      </c>
      <c r="L44" s="296">
        <v>21</v>
      </c>
      <c r="M44" s="296">
        <v>1147</v>
      </c>
      <c r="N44" s="187"/>
      <c r="O44" s="298">
        <f>ROUND(M44*N44/100,2)</f>
        <v>0</v>
      </c>
      <c r="P44" s="297">
        <v>21</v>
      </c>
      <c r="Q44" s="297">
        <v>2000</v>
      </c>
      <c r="R44" s="298">
        <f>ROUND(IF(Q44&gt;=M44,O44,Q44*N44/100),2)+S44</f>
        <v>0</v>
      </c>
      <c r="S44" s="396"/>
      <c r="T44" s="301">
        <f>IF(Чорн!$R$1=1,H44,IF(Чорн!$R$1=2,H45,IF(Чорн!$R$1=3,H46,IF(Чорн!$R$1=4,H47,IF(Чорн!$R$1=5,H48,IF(Чорн!$R$1=6,H49,0))))))</f>
        <v>0</v>
      </c>
    </row>
    <row r="45" spans="1:20" ht="12" customHeight="1">
      <c r="A45" s="185">
        <v>2</v>
      </c>
      <c r="B45" s="296">
        <v>20</v>
      </c>
      <c r="C45" s="296">
        <v>1147</v>
      </c>
      <c r="D45" s="187"/>
      <c r="E45" s="298">
        <f aca="true" t="shared" si="8" ref="E45:E56">ROUND(C45*D45/100,2)</f>
        <v>0</v>
      </c>
      <c r="F45" s="297">
        <v>20</v>
      </c>
      <c r="G45" s="297">
        <v>2000</v>
      </c>
      <c r="H45" s="298">
        <f aca="true" t="shared" si="9" ref="H45:H55">ROUND(IF(G45&gt;=C45,E45,G45*D45/100),2)+I45</f>
        <v>0</v>
      </c>
      <c r="I45" s="396"/>
      <c r="K45" s="185">
        <v>2</v>
      </c>
      <c r="L45" s="296">
        <v>20</v>
      </c>
      <c r="M45" s="296">
        <v>1147</v>
      </c>
      <c r="N45" s="187"/>
      <c r="O45" s="298">
        <f aca="true" t="shared" si="10" ref="O45:O55">ROUND(M45*N45/100,2)</f>
        <v>0</v>
      </c>
      <c r="P45" s="297">
        <v>20</v>
      </c>
      <c r="Q45" s="297">
        <v>2000</v>
      </c>
      <c r="R45" s="298">
        <f aca="true" t="shared" si="11" ref="R45:R50">ROUND(IF(Q45&gt;=M45,O45,Q45*N45/100),2)+S45</f>
        <v>0</v>
      </c>
      <c r="S45" s="396"/>
      <c r="T45" s="651" t="s">
        <v>99</v>
      </c>
    </row>
    <row r="46" spans="1:21" ht="12" customHeight="1">
      <c r="A46" s="185">
        <v>3</v>
      </c>
      <c r="B46" s="296">
        <v>20</v>
      </c>
      <c r="C46" s="296">
        <v>1147</v>
      </c>
      <c r="D46" s="187"/>
      <c r="E46" s="298">
        <f t="shared" si="8"/>
        <v>0</v>
      </c>
      <c r="F46" s="297">
        <v>20</v>
      </c>
      <c r="G46" s="297">
        <v>2000</v>
      </c>
      <c r="H46" s="298">
        <f t="shared" si="9"/>
        <v>0</v>
      </c>
      <c r="I46" s="396"/>
      <c r="K46" s="185">
        <v>3</v>
      </c>
      <c r="L46" s="296">
        <v>20</v>
      </c>
      <c r="M46" s="296">
        <v>1147</v>
      </c>
      <c r="N46" s="187"/>
      <c r="O46" s="298">
        <f t="shared" si="10"/>
        <v>0</v>
      </c>
      <c r="P46" s="297">
        <v>20</v>
      </c>
      <c r="Q46" s="297">
        <v>2000</v>
      </c>
      <c r="R46" s="298">
        <f t="shared" si="11"/>
        <v>0</v>
      </c>
      <c r="S46" s="396"/>
      <c r="T46" s="651"/>
      <c r="U46" s="145"/>
    </row>
    <row r="47" spans="1:21" ht="12" customHeight="1">
      <c r="A47" s="185">
        <v>4</v>
      </c>
      <c r="B47" s="296">
        <v>22</v>
      </c>
      <c r="C47" s="296">
        <v>1147</v>
      </c>
      <c r="D47" s="187"/>
      <c r="E47" s="298">
        <f t="shared" si="8"/>
        <v>0</v>
      </c>
      <c r="F47" s="297">
        <v>22</v>
      </c>
      <c r="G47" s="297">
        <v>2000</v>
      </c>
      <c r="H47" s="298">
        <f t="shared" si="9"/>
        <v>0</v>
      </c>
      <c r="I47" s="396"/>
      <c r="K47" s="185">
        <v>4</v>
      </c>
      <c r="L47" s="296">
        <v>22</v>
      </c>
      <c r="M47" s="296">
        <v>1147</v>
      </c>
      <c r="N47" s="187"/>
      <c r="O47" s="298">
        <f t="shared" si="10"/>
        <v>0</v>
      </c>
      <c r="P47" s="297">
        <v>22</v>
      </c>
      <c r="Q47" s="297">
        <v>2000</v>
      </c>
      <c r="R47" s="298">
        <f t="shared" si="11"/>
        <v>0</v>
      </c>
      <c r="S47" s="396"/>
      <c r="T47" s="302">
        <f>IF(Чорн!$R$1=7,H50,IF(Чорн!$R$1=8,H51,IF(Чорн!$R$1=9,H52,IF(Чорн!$R$1=10,H53,IF(Чорн!$R$1=11,H54,IF(Чорн!$R$1=12,H55,0))))))</f>
        <v>0</v>
      </c>
      <c r="U47" s="145"/>
    </row>
    <row r="48" spans="1:21" ht="12" customHeight="1">
      <c r="A48" s="185">
        <v>5</v>
      </c>
      <c r="B48" s="296">
        <v>19</v>
      </c>
      <c r="C48" s="296">
        <v>1147</v>
      </c>
      <c r="D48" s="187"/>
      <c r="E48" s="298">
        <f t="shared" si="8"/>
        <v>0</v>
      </c>
      <c r="F48" s="297">
        <v>19</v>
      </c>
      <c r="G48" s="297">
        <v>2000</v>
      </c>
      <c r="H48" s="298">
        <f t="shared" si="9"/>
        <v>0</v>
      </c>
      <c r="I48" s="396"/>
      <c r="K48" s="185">
        <v>5</v>
      </c>
      <c r="L48" s="296">
        <v>19</v>
      </c>
      <c r="M48" s="296">
        <v>1147</v>
      </c>
      <c r="N48" s="187"/>
      <c r="O48" s="298">
        <f t="shared" si="10"/>
        <v>0</v>
      </c>
      <c r="P48" s="297">
        <v>19</v>
      </c>
      <c r="Q48" s="297">
        <v>2000</v>
      </c>
      <c r="R48" s="298">
        <f t="shared" si="11"/>
        <v>0</v>
      </c>
      <c r="S48" s="396"/>
      <c r="T48" s="146"/>
      <c r="U48" s="147"/>
    </row>
    <row r="49" spans="1:20" ht="12" customHeight="1">
      <c r="A49" s="185">
        <v>6</v>
      </c>
      <c r="B49" s="296">
        <v>18</v>
      </c>
      <c r="C49" s="296">
        <v>1147</v>
      </c>
      <c r="D49" s="187"/>
      <c r="E49" s="298">
        <f t="shared" si="8"/>
        <v>0</v>
      </c>
      <c r="F49" s="297">
        <v>18</v>
      </c>
      <c r="G49" s="297">
        <v>2000</v>
      </c>
      <c r="H49" s="298">
        <f t="shared" si="9"/>
        <v>0</v>
      </c>
      <c r="I49" s="396"/>
      <c r="K49" s="185">
        <v>6</v>
      </c>
      <c r="L49" s="296">
        <v>18</v>
      </c>
      <c r="M49" s="296">
        <v>1147</v>
      </c>
      <c r="N49" s="187"/>
      <c r="O49" s="298">
        <f t="shared" si="10"/>
        <v>0</v>
      </c>
      <c r="P49" s="297">
        <v>18</v>
      </c>
      <c r="Q49" s="297">
        <v>2000</v>
      </c>
      <c r="R49" s="298">
        <f t="shared" si="11"/>
        <v>0</v>
      </c>
      <c r="S49" s="396"/>
      <c r="T49" s="148"/>
    </row>
    <row r="50" spans="1:20" ht="12" customHeight="1">
      <c r="A50" s="185">
        <v>7</v>
      </c>
      <c r="B50" s="296">
        <v>23</v>
      </c>
      <c r="C50" s="296">
        <v>1147</v>
      </c>
      <c r="D50" s="187"/>
      <c r="E50" s="298">
        <f t="shared" si="8"/>
        <v>0</v>
      </c>
      <c r="F50" s="297">
        <v>23</v>
      </c>
      <c r="G50" s="297">
        <v>2000</v>
      </c>
      <c r="H50" s="298">
        <f t="shared" si="9"/>
        <v>0</v>
      </c>
      <c r="I50" s="396"/>
      <c r="K50" s="185">
        <v>7</v>
      </c>
      <c r="L50" s="296">
        <v>23</v>
      </c>
      <c r="M50" s="296">
        <v>1147</v>
      </c>
      <c r="N50" s="187"/>
      <c r="O50" s="298">
        <f t="shared" si="10"/>
        <v>0</v>
      </c>
      <c r="P50" s="297">
        <v>23</v>
      </c>
      <c r="Q50" s="297">
        <v>2000</v>
      </c>
      <c r="R50" s="298">
        <f t="shared" si="11"/>
        <v>0</v>
      </c>
      <c r="S50" s="396"/>
      <c r="T50" s="282">
        <f>K42</f>
        <v>0</v>
      </c>
    </row>
    <row r="51" spans="1:20" ht="12" customHeight="1">
      <c r="A51" s="185">
        <v>8</v>
      </c>
      <c r="B51" s="296">
        <v>21</v>
      </c>
      <c r="C51" s="296">
        <v>1147</v>
      </c>
      <c r="D51" s="187"/>
      <c r="E51" s="298">
        <f t="shared" si="8"/>
        <v>0</v>
      </c>
      <c r="F51" s="297">
        <v>21</v>
      </c>
      <c r="G51" s="297">
        <v>2000</v>
      </c>
      <c r="H51" s="298">
        <f t="shared" si="9"/>
        <v>0</v>
      </c>
      <c r="I51" s="396"/>
      <c r="K51" s="185">
        <v>8</v>
      </c>
      <c r="L51" s="296">
        <v>21</v>
      </c>
      <c r="M51" s="296">
        <v>1147</v>
      </c>
      <c r="N51" s="187"/>
      <c r="O51" s="298">
        <f t="shared" si="10"/>
        <v>0</v>
      </c>
      <c r="P51" s="297">
        <v>21</v>
      </c>
      <c r="Q51" s="297">
        <v>2000</v>
      </c>
      <c r="R51" s="298">
        <f>ROUND(IF(Q51&gt;=M51,O51,Q51*N51/100),2)+S51</f>
        <v>0</v>
      </c>
      <c r="S51" s="396"/>
      <c r="T51" s="652" t="s">
        <v>100</v>
      </c>
    </row>
    <row r="52" spans="1:20" ht="12" customHeight="1">
      <c r="A52" s="185">
        <v>9</v>
      </c>
      <c r="B52" s="296">
        <v>21</v>
      </c>
      <c r="C52" s="296">
        <v>1147</v>
      </c>
      <c r="D52" s="187"/>
      <c r="E52" s="298">
        <f t="shared" si="8"/>
        <v>0</v>
      </c>
      <c r="F52" s="297">
        <v>21</v>
      </c>
      <c r="G52" s="297">
        <v>2000</v>
      </c>
      <c r="H52" s="298">
        <f t="shared" si="9"/>
        <v>0</v>
      </c>
      <c r="I52" s="396"/>
      <c r="K52" s="185">
        <v>9</v>
      </c>
      <c r="L52" s="296">
        <v>21</v>
      </c>
      <c r="M52" s="296">
        <v>1147</v>
      </c>
      <c r="N52" s="187"/>
      <c r="O52" s="298">
        <f t="shared" si="10"/>
        <v>0</v>
      </c>
      <c r="P52" s="297">
        <v>21</v>
      </c>
      <c r="Q52" s="297">
        <v>2000</v>
      </c>
      <c r="R52" s="298">
        <f>ROUND(IF(Q52&gt;=M52,O52,Q52*N52/100),2)+S52</f>
        <v>0</v>
      </c>
      <c r="S52" s="396"/>
      <c r="T52" s="652"/>
    </row>
    <row r="53" spans="1:20" ht="12" customHeight="1">
      <c r="A53" s="185">
        <v>10</v>
      </c>
      <c r="B53" s="296">
        <v>23</v>
      </c>
      <c r="C53" s="296">
        <v>1147</v>
      </c>
      <c r="D53" s="187"/>
      <c r="E53" s="298">
        <f t="shared" si="8"/>
        <v>0</v>
      </c>
      <c r="F53" s="297">
        <v>23</v>
      </c>
      <c r="G53" s="297">
        <v>2000</v>
      </c>
      <c r="H53" s="298">
        <f t="shared" si="9"/>
        <v>0</v>
      </c>
      <c r="I53" s="396"/>
      <c r="K53" s="185">
        <v>10</v>
      </c>
      <c r="L53" s="296">
        <v>23</v>
      </c>
      <c r="M53" s="296">
        <v>1147</v>
      </c>
      <c r="N53" s="187"/>
      <c r="O53" s="298">
        <f t="shared" si="10"/>
        <v>0</v>
      </c>
      <c r="P53" s="297">
        <v>23</v>
      </c>
      <c r="Q53" s="297">
        <v>2000</v>
      </c>
      <c r="R53" s="298">
        <f>ROUND(IF(Q53&gt;=M53,O53,Q53*N53/100),2)+S53</f>
        <v>0</v>
      </c>
      <c r="S53" s="396"/>
      <c r="T53" s="301">
        <f>IF(Чорн!$R$1=1,R44,IF(Чорн!$R$1=2,R45,IF(Чорн!$R$1=3,R46,IF(Чорн!$R$1=4,R47,IF(Чорн!$R$1=5,R48,IF(Чорн!$R$1=6,R49,0))))))</f>
        <v>0</v>
      </c>
    </row>
    <row r="54" spans="1:20" ht="12" customHeight="1">
      <c r="A54" s="185">
        <v>11</v>
      </c>
      <c r="B54" s="296">
        <v>21</v>
      </c>
      <c r="C54" s="296">
        <v>1147</v>
      </c>
      <c r="D54" s="187"/>
      <c r="E54" s="298">
        <f t="shared" si="8"/>
        <v>0</v>
      </c>
      <c r="F54" s="297">
        <v>21</v>
      </c>
      <c r="G54" s="297">
        <v>2000</v>
      </c>
      <c r="H54" s="298">
        <f t="shared" si="9"/>
        <v>0</v>
      </c>
      <c r="I54" s="396"/>
      <c r="K54" s="185">
        <v>11</v>
      </c>
      <c r="L54" s="296">
        <v>21</v>
      </c>
      <c r="M54" s="296">
        <v>1147</v>
      </c>
      <c r="N54" s="187"/>
      <c r="O54" s="298">
        <f t="shared" si="10"/>
        <v>0</v>
      </c>
      <c r="P54" s="297">
        <v>21</v>
      </c>
      <c r="Q54" s="297">
        <v>2000</v>
      </c>
      <c r="R54" s="298">
        <f>ROUND(IF(Q54&gt;=M54,O54,Q54*N54/100),2)+S54</f>
        <v>0</v>
      </c>
      <c r="S54" s="396"/>
      <c r="T54" s="651" t="s">
        <v>99</v>
      </c>
    </row>
    <row r="55" spans="1:20" ht="12" customHeight="1">
      <c r="A55" s="185">
        <v>12</v>
      </c>
      <c r="B55" s="296">
        <v>22</v>
      </c>
      <c r="C55" s="296">
        <v>1218</v>
      </c>
      <c r="D55" s="187"/>
      <c r="E55" s="298">
        <f t="shared" si="8"/>
        <v>0</v>
      </c>
      <c r="F55" s="297">
        <v>22</v>
      </c>
      <c r="G55" s="297">
        <v>2000</v>
      </c>
      <c r="H55" s="298">
        <f t="shared" si="9"/>
        <v>0</v>
      </c>
      <c r="I55" s="396"/>
      <c r="K55" s="185">
        <v>12</v>
      </c>
      <c r="L55" s="296">
        <v>22</v>
      </c>
      <c r="M55" s="296">
        <v>1218</v>
      </c>
      <c r="N55" s="187"/>
      <c r="O55" s="298">
        <f t="shared" si="10"/>
        <v>0</v>
      </c>
      <c r="P55" s="297">
        <v>22</v>
      </c>
      <c r="Q55" s="297">
        <v>2000</v>
      </c>
      <c r="R55" s="298">
        <f>ROUND(IF(Q55&gt;=M55,O55,Q55*N55/100),2)+S55</f>
        <v>0</v>
      </c>
      <c r="S55" s="396"/>
      <c r="T55" s="651"/>
    </row>
    <row r="56" spans="1:20" ht="12" customHeight="1">
      <c r="A56" s="186" t="s">
        <v>62</v>
      </c>
      <c r="B56" s="296">
        <f>SUM(B44:B55)</f>
        <v>251</v>
      </c>
      <c r="C56" s="296"/>
      <c r="D56" s="185"/>
      <c r="E56" s="298">
        <f t="shared" si="8"/>
        <v>0</v>
      </c>
      <c r="F56" s="296">
        <f>SUM(F44:F55)</f>
        <v>251</v>
      </c>
      <c r="G56" s="296">
        <f>SUM(G44:G55)</f>
        <v>24000</v>
      </c>
      <c r="H56" s="298">
        <f>SUM(H44:H55)</f>
        <v>0</v>
      </c>
      <c r="I56" s="298"/>
      <c r="K56" s="186" t="s">
        <v>62</v>
      </c>
      <c r="L56" s="296">
        <f>SUM(L44:L55)</f>
        <v>251</v>
      </c>
      <c r="M56" s="296"/>
      <c r="N56" s="185"/>
      <c r="O56" s="298">
        <f>SUM(O44:O55)</f>
        <v>0</v>
      </c>
      <c r="P56" s="296">
        <f>SUM(P44:P55)</f>
        <v>251</v>
      </c>
      <c r="Q56" s="296">
        <f>SUM(Q44:Q55)</f>
        <v>24000</v>
      </c>
      <c r="R56" s="298">
        <f>SUM(R44:R55)</f>
        <v>0</v>
      </c>
      <c r="S56" s="298"/>
      <c r="T56" s="303">
        <f>IF(Чорн!$R$1=7,R50,IF(Чорн!$R$1=8,R51,IF(Чорн!$R$1=9,R52,IF(Чорн!$R$1=10,R53,IF(Чорн!$R$1=11,R54,IF(Чорн!$R$1=12,R55,0))))))</f>
        <v>0</v>
      </c>
    </row>
    <row r="57" spans="1:19" ht="12" customHeight="1">
      <c r="A57" s="246"/>
      <c r="B57" s="246"/>
      <c r="C57" s="246"/>
      <c r="D57" s="246"/>
      <c r="E57" s="246"/>
      <c r="F57" s="246"/>
      <c r="G57" s="246"/>
      <c r="H57" s="246"/>
      <c r="I57" s="281"/>
      <c r="K57" s="246"/>
      <c r="L57" s="246"/>
      <c r="M57" s="246"/>
      <c r="N57" s="246"/>
      <c r="O57" s="246"/>
      <c r="P57" s="246"/>
      <c r="Q57" s="246"/>
      <c r="R57" s="246"/>
      <c r="S57" s="281"/>
    </row>
    <row r="58" spans="1:19" ht="12" customHeight="1">
      <c r="A58" s="246"/>
      <c r="B58" s="246"/>
      <c r="C58" s="246"/>
      <c r="D58" s="246"/>
      <c r="E58" s="246"/>
      <c r="F58" s="246"/>
      <c r="G58" s="246"/>
      <c r="H58" s="246"/>
      <c r="I58" s="281"/>
      <c r="K58" s="246"/>
      <c r="L58" s="246"/>
      <c r="M58" s="246"/>
      <c r="N58" s="246"/>
      <c r="O58" s="246"/>
      <c r="P58" s="246"/>
      <c r="Q58" s="246"/>
      <c r="R58" s="246"/>
      <c r="S58" s="281"/>
    </row>
    <row r="59" spans="1:19" ht="12" customHeight="1">
      <c r="A59" s="246"/>
      <c r="B59" s="246"/>
      <c r="C59" s="246"/>
      <c r="D59" s="246"/>
      <c r="E59" s="246"/>
      <c r="F59" s="246"/>
      <c r="G59" s="246"/>
      <c r="H59" s="246"/>
      <c r="I59" s="281"/>
      <c r="K59" s="246"/>
      <c r="L59" s="246"/>
      <c r="M59" s="246"/>
      <c r="N59" s="246"/>
      <c r="O59" s="246"/>
      <c r="P59" s="246"/>
      <c r="Q59" s="246"/>
      <c r="R59" s="246"/>
      <c r="S59" s="281"/>
    </row>
    <row r="60" spans="1:19" ht="12" customHeight="1">
      <c r="A60" s="246"/>
      <c r="B60" s="246"/>
      <c r="C60" s="246"/>
      <c r="D60" s="246"/>
      <c r="E60" s="246"/>
      <c r="F60" s="246"/>
      <c r="G60" s="246"/>
      <c r="H60" s="246"/>
      <c r="I60" s="281"/>
      <c r="K60" s="246"/>
      <c r="L60" s="246"/>
      <c r="M60" s="246"/>
      <c r="N60" s="246"/>
      <c r="O60" s="246"/>
      <c r="P60" s="246"/>
      <c r="Q60" s="246"/>
      <c r="R60" s="246"/>
      <c r="S60" s="281"/>
    </row>
    <row r="61" ht="12" customHeight="1"/>
    <row r="62" spans="1:20" ht="12" customHeight="1">
      <c r="A62" s="654">
        <f>Чорн!C14</f>
        <v>0</v>
      </c>
      <c r="B62" s="655"/>
      <c r="C62" s="655"/>
      <c r="D62" s="655"/>
      <c r="E62" s="655"/>
      <c r="F62" s="655"/>
      <c r="G62" s="655"/>
      <c r="H62" s="655"/>
      <c r="I62" s="656"/>
      <c r="K62" s="654">
        <f>Чорн!C15</f>
        <v>0</v>
      </c>
      <c r="L62" s="655"/>
      <c r="M62" s="655"/>
      <c r="N62" s="655"/>
      <c r="O62" s="655"/>
      <c r="P62" s="655"/>
      <c r="Q62" s="655"/>
      <c r="R62" s="655"/>
      <c r="S62" s="656"/>
      <c r="T62" s="282">
        <f>A62</f>
        <v>0</v>
      </c>
    </row>
    <row r="63" spans="1:20" ht="45">
      <c r="A63" s="143" t="s">
        <v>169</v>
      </c>
      <c r="B63" s="143" t="s">
        <v>170</v>
      </c>
      <c r="C63" s="143" t="s">
        <v>12</v>
      </c>
      <c r="D63" s="143" t="s">
        <v>171</v>
      </c>
      <c r="E63" s="143" t="s">
        <v>172</v>
      </c>
      <c r="F63" s="143" t="s">
        <v>173</v>
      </c>
      <c r="G63" s="143" t="s">
        <v>174</v>
      </c>
      <c r="H63" s="143" t="s">
        <v>175</v>
      </c>
      <c r="I63" s="143" t="s">
        <v>176</v>
      </c>
      <c r="K63" s="143" t="s">
        <v>169</v>
      </c>
      <c r="L63" s="143" t="s">
        <v>170</v>
      </c>
      <c r="M63" s="143" t="s">
        <v>12</v>
      </c>
      <c r="N63" s="143" t="s">
        <v>171</v>
      </c>
      <c r="O63" s="143" t="s">
        <v>172</v>
      </c>
      <c r="P63" s="143" t="s">
        <v>173</v>
      </c>
      <c r="Q63" s="143" t="s">
        <v>174</v>
      </c>
      <c r="R63" s="143" t="s">
        <v>175</v>
      </c>
      <c r="S63" s="143" t="s">
        <v>176</v>
      </c>
      <c r="T63" s="128" t="s">
        <v>100</v>
      </c>
    </row>
    <row r="64" spans="1:20" ht="12" customHeight="1">
      <c r="A64" s="185">
        <v>1</v>
      </c>
      <c r="B64" s="296">
        <v>21</v>
      </c>
      <c r="C64" s="296">
        <v>1147</v>
      </c>
      <c r="D64" s="187"/>
      <c r="E64" s="298">
        <f>ROUND(C64*D64/100,2)</f>
        <v>0</v>
      </c>
      <c r="F64" s="297">
        <v>21</v>
      </c>
      <c r="G64" s="297">
        <v>2000</v>
      </c>
      <c r="H64" s="298">
        <f>ROUND(IF(G64&gt;=C64,E64,G64*D64/100),2)+I64</f>
        <v>0</v>
      </c>
      <c r="I64" s="396"/>
      <c r="K64" s="185">
        <v>1</v>
      </c>
      <c r="L64" s="296">
        <v>21</v>
      </c>
      <c r="M64" s="296">
        <v>1147</v>
      </c>
      <c r="N64" s="187"/>
      <c r="O64" s="298">
        <f>ROUND(M64*N64/100,2)</f>
        <v>0</v>
      </c>
      <c r="P64" s="297">
        <v>21</v>
      </c>
      <c r="Q64" s="297">
        <v>2000</v>
      </c>
      <c r="R64" s="298">
        <f>ROUND(IF(Q64&gt;=M64,O64,Q64*N64/100),2)+S64</f>
        <v>0</v>
      </c>
      <c r="S64" s="396"/>
      <c r="T64" s="301">
        <f>IF(Чорн!$R$1=1,H64,IF(Чорн!$R$1=2,H65,IF(Чорн!$R$1=3,H66,IF(Чорн!$R$1=4,H67,IF(Чорн!$R$1=5,H68,IF(Чорн!$R$1=6,H69,0))))))</f>
        <v>0</v>
      </c>
    </row>
    <row r="65" spans="1:20" ht="12" customHeight="1">
      <c r="A65" s="185">
        <v>2</v>
      </c>
      <c r="B65" s="296">
        <v>20</v>
      </c>
      <c r="C65" s="296">
        <v>1147</v>
      </c>
      <c r="D65" s="187"/>
      <c r="E65" s="298">
        <f aca="true" t="shared" si="12" ref="E65:E75">ROUND(C65*D65/100,2)</f>
        <v>0</v>
      </c>
      <c r="F65" s="297">
        <v>20</v>
      </c>
      <c r="G65" s="297">
        <v>2000</v>
      </c>
      <c r="H65" s="298">
        <f aca="true" t="shared" si="13" ref="H65:H75">ROUND(IF(G65&gt;=C65,E65,G65*D65/100),2)+I65</f>
        <v>0</v>
      </c>
      <c r="I65" s="396"/>
      <c r="K65" s="185">
        <v>2</v>
      </c>
      <c r="L65" s="296">
        <v>20</v>
      </c>
      <c r="M65" s="296">
        <v>1147</v>
      </c>
      <c r="N65" s="187"/>
      <c r="O65" s="298">
        <f aca="true" t="shared" si="14" ref="O65:O75">ROUND(M65*N65/100,2)</f>
        <v>0</v>
      </c>
      <c r="P65" s="297">
        <v>20</v>
      </c>
      <c r="Q65" s="297">
        <v>2000</v>
      </c>
      <c r="R65" s="298">
        <f aca="true" t="shared" si="15" ref="R65:R75">ROUND(IF(Q65&gt;=M65,O65,Q65*N65/100),2)+S65</f>
        <v>0</v>
      </c>
      <c r="S65" s="396"/>
      <c r="T65" s="651" t="s">
        <v>99</v>
      </c>
    </row>
    <row r="66" spans="1:20" ht="12" customHeight="1">
      <c r="A66" s="185">
        <v>3</v>
      </c>
      <c r="B66" s="296">
        <v>20</v>
      </c>
      <c r="C66" s="296">
        <v>1147</v>
      </c>
      <c r="D66" s="187"/>
      <c r="E66" s="298">
        <f t="shared" si="12"/>
        <v>0</v>
      </c>
      <c r="F66" s="297">
        <v>20</v>
      </c>
      <c r="G66" s="297">
        <v>2000</v>
      </c>
      <c r="H66" s="298">
        <f t="shared" si="13"/>
        <v>0</v>
      </c>
      <c r="I66" s="396"/>
      <c r="K66" s="185">
        <v>3</v>
      </c>
      <c r="L66" s="296">
        <v>20</v>
      </c>
      <c r="M66" s="296">
        <v>1147</v>
      </c>
      <c r="N66" s="187"/>
      <c r="O66" s="298">
        <f t="shared" si="14"/>
        <v>0</v>
      </c>
      <c r="P66" s="297">
        <v>20</v>
      </c>
      <c r="Q66" s="297">
        <v>2000</v>
      </c>
      <c r="R66" s="298">
        <f t="shared" si="15"/>
        <v>0</v>
      </c>
      <c r="S66" s="396"/>
      <c r="T66" s="651"/>
    </row>
    <row r="67" spans="1:20" ht="12" customHeight="1">
      <c r="A67" s="185">
        <v>4</v>
      </c>
      <c r="B67" s="296">
        <v>22</v>
      </c>
      <c r="C67" s="296">
        <v>1147</v>
      </c>
      <c r="D67" s="187"/>
      <c r="E67" s="298">
        <f t="shared" si="12"/>
        <v>0</v>
      </c>
      <c r="F67" s="297">
        <v>22</v>
      </c>
      <c r="G67" s="297">
        <v>2000</v>
      </c>
      <c r="H67" s="298">
        <f t="shared" si="13"/>
        <v>0</v>
      </c>
      <c r="I67" s="396"/>
      <c r="K67" s="185">
        <v>4</v>
      </c>
      <c r="L67" s="296">
        <v>22</v>
      </c>
      <c r="M67" s="296">
        <v>1147</v>
      </c>
      <c r="N67" s="187"/>
      <c r="O67" s="298">
        <f t="shared" si="14"/>
        <v>0</v>
      </c>
      <c r="P67" s="297">
        <v>22</v>
      </c>
      <c r="Q67" s="297">
        <v>2000</v>
      </c>
      <c r="R67" s="298">
        <f t="shared" si="15"/>
        <v>0</v>
      </c>
      <c r="S67" s="396"/>
      <c r="T67" s="302">
        <f>IF(Чорн!$R$1=7,H70,IF(Чорн!$R$1=8,H71,IF(Чорн!$R$1=9,H72,IF(Чорн!$R$1=10,H73,IF(Чорн!$R$1=11,H74,IF(Чорн!$R$1=12,H75,0))))))</f>
        <v>0</v>
      </c>
    </row>
    <row r="68" spans="1:20" ht="12" customHeight="1">
      <c r="A68" s="185">
        <v>5</v>
      </c>
      <c r="B68" s="296">
        <v>19</v>
      </c>
      <c r="C68" s="296">
        <v>1147</v>
      </c>
      <c r="D68" s="187"/>
      <c r="E68" s="298">
        <f t="shared" si="12"/>
        <v>0</v>
      </c>
      <c r="F68" s="297">
        <v>19</v>
      </c>
      <c r="G68" s="297">
        <v>2000</v>
      </c>
      <c r="H68" s="298">
        <f t="shared" si="13"/>
        <v>0</v>
      </c>
      <c r="I68" s="396"/>
      <c r="K68" s="185">
        <v>5</v>
      </c>
      <c r="L68" s="296">
        <v>19</v>
      </c>
      <c r="M68" s="296">
        <v>1147</v>
      </c>
      <c r="N68" s="187"/>
      <c r="O68" s="298">
        <f t="shared" si="14"/>
        <v>0</v>
      </c>
      <c r="P68" s="297">
        <v>19</v>
      </c>
      <c r="Q68" s="297">
        <v>2000</v>
      </c>
      <c r="R68" s="298">
        <f t="shared" si="15"/>
        <v>0</v>
      </c>
      <c r="S68" s="396"/>
      <c r="T68" s="146"/>
    </row>
    <row r="69" spans="1:20" ht="12" customHeight="1">
      <c r="A69" s="185">
        <v>6</v>
      </c>
      <c r="B69" s="296">
        <v>18</v>
      </c>
      <c r="C69" s="296">
        <v>1147</v>
      </c>
      <c r="D69" s="187"/>
      <c r="E69" s="298">
        <f t="shared" si="12"/>
        <v>0</v>
      </c>
      <c r="F69" s="297">
        <v>18</v>
      </c>
      <c r="G69" s="297">
        <v>2000</v>
      </c>
      <c r="H69" s="298">
        <f t="shared" si="13"/>
        <v>0</v>
      </c>
      <c r="I69" s="396"/>
      <c r="K69" s="185">
        <v>6</v>
      </c>
      <c r="L69" s="296">
        <v>18</v>
      </c>
      <c r="M69" s="296">
        <v>1147</v>
      </c>
      <c r="N69" s="187"/>
      <c r="O69" s="298">
        <f t="shared" si="14"/>
        <v>0</v>
      </c>
      <c r="P69" s="297">
        <v>18</v>
      </c>
      <c r="Q69" s="297">
        <v>2000</v>
      </c>
      <c r="R69" s="298">
        <f t="shared" si="15"/>
        <v>0</v>
      </c>
      <c r="S69" s="396"/>
      <c r="T69" s="148"/>
    </row>
    <row r="70" spans="1:20" ht="12" customHeight="1">
      <c r="A70" s="185">
        <v>7</v>
      </c>
      <c r="B70" s="296">
        <v>23</v>
      </c>
      <c r="C70" s="296">
        <v>1147</v>
      </c>
      <c r="D70" s="187"/>
      <c r="E70" s="298">
        <f t="shared" si="12"/>
        <v>0</v>
      </c>
      <c r="F70" s="297">
        <v>23</v>
      </c>
      <c r="G70" s="297">
        <v>2000</v>
      </c>
      <c r="H70" s="298">
        <f t="shared" si="13"/>
        <v>0</v>
      </c>
      <c r="I70" s="396"/>
      <c r="K70" s="185">
        <v>7</v>
      </c>
      <c r="L70" s="296">
        <v>23</v>
      </c>
      <c r="M70" s="296">
        <v>1147</v>
      </c>
      <c r="N70" s="187"/>
      <c r="O70" s="298">
        <f t="shared" si="14"/>
        <v>0</v>
      </c>
      <c r="P70" s="297">
        <v>23</v>
      </c>
      <c r="Q70" s="297">
        <v>2000</v>
      </c>
      <c r="R70" s="298">
        <f t="shared" si="15"/>
        <v>0</v>
      </c>
      <c r="S70" s="396"/>
      <c r="T70" s="282">
        <f>K62</f>
        <v>0</v>
      </c>
    </row>
    <row r="71" spans="1:20" ht="12" customHeight="1">
      <c r="A71" s="185">
        <v>8</v>
      </c>
      <c r="B71" s="296">
        <v>21</v>
      </c>
      <c r="C71" s="296">
        <v>1147</v>
      </c>
      <c r="D71" s="187"/>
      <c r="E71" s="298">
        <f t="shared" si="12"/>
        <v>0</v>
      </c>
      <c r="F71" s="297">
        <v>21</v>
      </c>
      <c r="G71" s="297">
        <v>2000</v>
      </c>
      <c r="H71" s="298">
        <f t="shared" si="13"/>
        <v>0</v>
      </c>
      <c r="I71" s="396"/>
      <c r="K71" s="185">
        <v>8</v>
      </c>
      <c r="L71" s="296">
        <v>21</v>
      </c>
      <c r="M71" s="296">
        <v>1147</v>
      </c>
      <c r="N71" s="187"/>
      <c r="O71" s="298">
        <f t="shared" si="14"/>
        <v>0</v>
      </c>
      <c r="P71" s="297">
        <v>21</v>
      </c>
      <c r="Q71" s="297">
        <v>2000</v>
      </c>
      <c r="R71" s="298">
        <f t="shared" si="15"/>
        <v>0</v>
      </c>
      <c r="S71" s="396"/>
      <c r="T71" s="652" t="s">
        <v>100</v>
      </c>
    </row>
    <row r="72" spans="1:20" ht="12" customHeight="1">
      <c r="A72" s="185">
        <v>9</v>
      </c>
      <c r="B72" s="296">
        <v>21</v>
      </c>
      <c r="C72" s="296">
        <v>1147</v>
      </c>
      <c r="D72" s="187"/>
      <c r="E72" s="298">
        <f t="shared" si="12"/>
        <v>0</v>
      </c>
      <c r="F72" s="297">
        <v>21</v>
      </c>
      <c r="G72" s="297">
        <v>2000</v>
      </c>
      <c r="H72" s="298">
        <f t="shared" si="13"/>
        <v>0</v>
      </c>
      <c r="I72" s="396"/>
      <c r="K72" s="185">
        <v>9</v>
      </c>
      <c r="L72" s="296">
        <v>21</v>
      </c>
      <c r="M72" s="296">
        <v>1147</v>
      </c>
      <c r="N72" s="187"/>
      <c r="O72" s="298">
        <f t="shared" si="14"/>
        <v>0</v>
      </c>
      <c r="P72" s="297">
        <v>21</v>
      </c>
      <c r="Q72" s="297">
        <v>2000</v>
      </c>
      <c r="R72" s="298">
        <f t="shared" si="15"/>
        <v>0</v>
      </c>
      <c r="S72" s="396"/>
      <c r="T72" s="652"/>
    </row>
    <row r="73" spans="1:20" ht="12" customHeight="1">
      <c r="A73" s="185">
        <v>10</v>
      </c>
      <c r="B73" s="296">
        <v>23</v>
      </c>
      <c r="C73" s="296">
        <v>1147</v>
      </c>
      <c r="D73" s="187"/>
      <c r="E73" s="298">
        <f t="shared" si="12"/>
        <v>0</v>
      </c>
      <c r="F73" s="297">
        <v>23</v>
      </c>
      <c r="G73" s="297">
        <v>2000</v>
      </c>
      <c r="H73" s="298">
        <f t="shared" si="13"/>
        <v>0</v>
      </c>
      <c r="I73" s="396"/>
      <c r="K73" s="185">
        <v>10</v>
      </c>
      <c r="L73" s="296">
        <v>23</v>
      </c>
      <c r="M73" s="296">
        <v>1147</v>
      </c>
      <c r="N73" s="187"/>
      <c r="O73" s="298">
        <f t="shared" si="14"/>
        <v>0</v>
      </c>
      <c r="P73" s="297">
        <v>23</v>
      </c>
      <c r="Q73" s="297">
        <v>2000</v>
      </c>
      <c r="R73" s="298">
        <f t="shared" si="15"/>
        <v>0</v>
      </c>
      <c r="S73" s="396"/>
      <c r="T73" s="301">
        <f>IF(Чорн!$R$1=1,R64,IF(Чорн!$R$1=2,R65,IF(Чорн!$R$1=3,R66,IF(Чорн!$R$1=4,R67,IF(Чорн!$R$1=5,R68,IF(Чорн!$R$1=6,R69,0))))))</f>
        <v>0</v>
      </c>
    </row>
    <row r="74" spans="1:20" ht="12" customHeight="1">
      <c r="A74" s="185">
        <v>11</v>
      </c>
      <c r="B74" s="296">
        <v>21</v>
      </c>
      <c r="C74" s="296">
        <v>1147</v>
      </c>
      <c r="D74" s="187"/>
      <c r="E74" s="298">
        <f t="shared" si="12"/>
        <v>0</v>
      </c>
      <c r="F74" s="297">
        <v>21</v>
      </c>
      <c r="G74" s="297">
        <v>2000</v>
      </c>
      <c r="H74" s="298">
        <f t="shared" si="13"/>
        <v>0</v>
      </c>
      <c r="I74" s="396"/>
      <c r="K74" s="185">
        <v>11</v>
      </c>
      <c r="L74" s="296">
        <v>21</v>
      </c>
      <c r="M74" s="296">
        <v>1147</v>
      </c>
      <c r="N74" s="187"/>
      <c r="O74" s="298">
        <f t="shared" si="14"/>
        <v>0</v>
      </c>
      <c r="P74" s="297">
        <v>21</v>
      </c>
      <c r="Q74" s="297">
        <v>2000</v>
      </c>
      <c r="R74" s="298">
        <f t="shared" si="15"/>
        <v>0</v>
      </c>
      <c r="S74" s="396"/>
      <c r="T74" s="651" t="s">
        <v>99</v>
      </c>
    </row>
    <row r="75" spans="1:20" ht="12" customHeight="1">
      <c r="A75" s="185">
        <v>12</v>
      </c>
      <c r="B75" s="296">
        <v>22</v>
      </c>
      <c r="C75" s="296">
        <v>1218</v>
      </c>
      <c r="D75" s="187"/>
      <c r="E75" s="298">
        <f t="shared" si="12"/>
        <v>0</v>
      </c>
      <c r="F75" s="297">
        <v>22</v>
      </c>
      <c r="G75" s="297">
        <v>2000</v>
      </c>
      <c r="H75" s="298">
        <f t="shared" si="13"/>
        <v>0</v>
      </c>
      <c r="I75" s="396"/>
      <c r="K75" s="185">
        <v>12</v>
      </c>
      <c r="L75" s="296">
        <v>22</v>
      </c>
      <c r="M75" s="296">
        <v>1218</v>
      </c>
      <c r="N75" s="187"/>
      <c r="O75" s="298">
        <f t="shared" si="14"/>
        <v>0</v>
      </c>
      <c r="P75" s="297">
        <v>22</v>
      </c>
      <c r="Q75" s="297">
        <v>2000</v>
      </c>
      <c r="R75" s="298">
        <f t="shared" si="15"/>
        <v>0</v>
      </c>
      <c r="S75" s="396"/>
      <c r="T75" s="651"/>
    </row>
    <row r="76" spans="1:20" ht="12" customHeight="1">
      <c r="A76" s="186" t="s">
        <v>62</v>
      </c>
      <c r="B76" s="296">
        <f>SUM(B64:B75)</f>
        <v>251</v>
      </c>
      <c r="C76" s="296"/>
      <c r="D76" s="185"/>
      <c r="E76" s="298">
        <f>SUM(E64:E75)</f>
        <v>0</v>
      </c>
      <c r="F76" s="296"/>
      <c r="G76" s="296"/>
      <c r="H76" s="298">
        <f>SUM(H64:H75)</f>
        <v>0</v>
      </c>
      <c r="I76" s="298"/>
      <c r="K76" s="186" t="s">
        <v>62</v>
      </c>
      <c r="L76" s="296">
        <f>SUM(L64:L75)</f>
        <v>251</v>
      </c>
      <c r="M76" s="296"/>
      <c r="N76" s="185"/>
      <c r="O76" s="298">
        <f>SUM(O64:O75)</f>
        <v>0</v>
      </c>
      <c r="P76" s="296"/>
      <c r="Q76" s="296"/>
      <c r="R76" s="298">
        <f>SUM(R64:R75)</f>
        <v>0</v>
      </c>
      <c r="S76" s="298"/>
      <c r="T76" s="303">
        <f>IF(Чорн!$R$1=7,R70,IF(Чорн!$R$1=8,R71,IF(Чорн!$R$1=9,R72,IF(Чорн!$R$1=10,R73,IF(Чорн!$R$1=11,R74,IF(Чорн!$R$1=12,R75,0))))))</f>
        <v>0</v>
      </c>
    </row>
    <row r="77" spans="1:19" ht="12" customHeight="1">
      <c r="A77" s="246"/>
      <c r="B77" s="246"/>
      <c r="C77" s="246"/>
      <c r="D77" s="246"/>
      <c r="E77" s="246"/>
      <c r="F77" s="246"/>
      <c r="G77" s="246"/>
      <c r="H77" s="246"/>
      <c r="I77" s="281"/>
      <c r="K77" s="246"/>
      <c r="L77" s="246"/>
      <c r="M77" s="246"/>
      <c r="N77" s="246"/>
      <c r="O77" s="246"/>
      <c r="P77" s="246"/>
      <c r="Q77" s="246"/>
      <c r="R77" s="246"/>
      <c r="S77" s="281"/>
    </row>
    <row r="78" spans="1:19" ht="12" customHeight="1">
      <c r="A78" s="246"/>
      <c r="B78" s="246"/>
      <c r="C78" s="246"/>
      <c r="D78" s="246"/>
      <c r="E78" s="246"/>
      <c r="F78" s="246"/>
      <c r="G78" s="246"/>
      <c r="H78" s="246"/>
      <c r="I78" s="281"/>
      <c r="K78" s="246"/>
      <c r="L78" s="246"/>
      <c r="M78" s="246"/>
      <c r="N78" s="246"/>
      <c r="O78" s="246"/>
      <c r="P78" s="246"/>
      <c r="Q78" s="246"/>
      <c r="R78" s="246"/>
      <c r="S78" s="281"/>
    </row>
    <row r="79" spans="1:19" ht="12" customHeight="1">
      <c r="A79" s="246"/>
      <c r="B79" s="246"/>
      <c r="C79" s="246"/>
      <c r="D79" s="246"/>
      <c r="E79" s="246"/>
      <c r="F79" s="246"/>
      <c r="G79" s="246"/>
      <c r="H79" s="246"/>
      <c r="I79" s="281"/>
      <c r="K79" s="246"/>
      <c r="L79" s="246"/>
      <c r="M79" s="246"/>
      <c r="N79" s="246"/>
      <c r="O79" s="246"/>
      <c r="P79" s="246"/>
      <c r="Q79" s="246"/>
      <c r="R79" s="246"/>
      <c r="S79" s="281"/>
    </row>
    <row r="80" spans="1:19" ht="12" customHeight="1">
      <c r="A80" s="246"/>
      <c r="B80" s="246"/>
      <c r="C80" s="246"/>
      <c r="D80" s="246"/>
      <c r="E80" s="246"/>
      <c r="F80" s="246"/>
      <c r="G80" s="246"/>
      <c r="H80" s="246"/>
      <c r="I80" s="281"/>
      <c r="K80" s="246"/>
      <c r="L80" s="246"/>
      <c r="M80" s="246"/>
      <c r="N80" s="246"/>
      <c r="O80" s="246"/>
      <c r="P80" s="246"/>
      <c r="Q80" s="246"/>
      <c r="R80" s="246"/>
      <c r="S80" s="281"/>
    </row>
    <row r="81" spans="1:19" ht="12" customHeight="1">
      <c r="A81" s="246"/>
      <c r="B81" s="246"/>
      <c r="C81" s="246"/>
      <c r="D81" s="246"/>
      <c r="E81" s="246"/>
      <c r="F81" s="246"/>
      <c r="G81" s="246"/>
      <c r="H81" s="246"/>
      <c r="I81" s="281"/>
      <c r="K81" s="246"/>
      <c r="L81" s="246"/>
      <c r="M81" s="246"/>
      <c r="N81" s="246"/>
      <c r="O81" s="246"/>
      <c r="P81" s="246"/>
      <c r="Q81" s="246"/>
      <c r="R81" s="246"/>
      <c r="S81" s="281"/>
    </row>
    <row r="82" spans="1:23" ht="12.75">
      <c r="A82" s="653">
        <f>Чорн!C16</f>
        <v>0</v>
      </c>
      <c r="B82" s="653"/>
      <c r="C82" s="653"/>
      <c r="D82" s="653"/>
      <c r="E82" s="653"/>
      <c r="F82" s="653"/>
      <c r="G82" s="653"/>
      <c r="H82" s="653"/>
      <c r="I82" s="653"/>
      <c r="K82" s="653">
        <f>Чорн!C17</f>
        <v>0</v>
      </c>
      <c r="L82" s="653"/>
      <c r="M82" s="653"/>
      <c r="N82" s="653"/>
      <c r="O82" s="653"/>
      <c r="P82" s="653"/>
      <c r="Q82" s="653"/>
      <c r="R82" s="653"/>
      <c r="S82" s="654"/>
      <c r="T82" s="282">
        <f>A82</f>
        <v>0</v>
      </c>
      <c r="U82" s="141"/>
      <c r="V82" s="142"/>
      <c r="W82" s="142"/>
    </row>
    <row r="83" spans="1:20" ht="45" customHeight="1">
      <c r="A83" s="143" t="s">
        <v>169</v>
      </c>
      <c r="B83" s="143" t="s">
        <v>170</v>
      </c>
      <c r="C83" s="143" t="s">
        <v>12</v>
      </c>
      <c r="D83" s="143" t="s">
        <v>171</v>
      </c>
      <c r="E83" s="143" t="s">
        <v>172</v>
      </c>
      <c r="F83" s="143" t="s">
        <v>173</v>
      </c>
      <c r="G83" s="143" t="s">
        <v>174</v>
      </c>
      <c r="H83" s="143" t="s">
        <v>175</v>
      </c>
      <c r="I83" s="143" t="s">
        <v>176</v>
      </c>
      <c r="J83" s="144"/>
      <c r="K83" s="143" t="s">
        <v>169</v>
      </c>
      <c r="L83" s="143" t="s">
        <v>170</v>
      </c>
      <c r="M83" s="143" t="s">
        <v>12</v>
      </c>
      <c r="N83" s="143" t="s">
        <v>171</v>
      </c>
      <c r="O83" s="143" t="s">
        <v>172</v>
      </c>
      <c r="P83" s="143" t="s">
        <v>173</v>
      </c>
      <c r="Q83" s="143" t="s">
        <v>174</v>
      </c>
      <c r="R83" s="143" t="s">
        <v>175</v>
      </c>
      <c r="S83" s="143" t="s">
        <v>176</v>
      </c>
      <c r="T83" s="128" t="s">
        <v>100</v>
      </c>
    </row>
    <row r="84" spans="1:20" ht="12" customHeight="1">
      <c r="A84" s="185">
        <v>1</v>
      </c>
      <c r="B84" s="296">
        <v>21</v>
      </c>
      <c r="C84" s="296">
        <v>1147</v>
      </c>
      <c r="D84" s="187"/>
      <c r="E84" s="298">
        <f>ROUND(C84*D84/100,2)</f>
        <v>0</v>
      </c>
      <c r="F84" s="297">
        <v>21</v>
      </c>
      <c r="G84" s="297">
        <v>2000</v>
      </c>
      <c r="H84" s="298">
        <f>ROUND(IF(G84&gt;=C84,E84,G84*D84/100),2)+I84</f>
        <v>0</v>
      </c>
      <c r="I84" s="396"/>
      <c r="K84" s="185">
        <v>1</v>
      </c>
      <c r="L84" s="296">
        <v>21</v>
      </c>
      <c r="M84" s="296">
        <v>1147</v>
      </c>
      <c r="N84" s="187"/>
      <c r="O84" s="298">
        <f>ROUND(M84*N84/100,2)</f>
        <v>0</v>
      </c>
      <c r="P84" s="297">
        <v>21</v>
      </c>
      <c r="Q84" s="297">
        <v>2000</v>
      </c>
      <c r="R84" s="298">
        <f>ROUND(IF(Q84&gt;=M84,O84,Q84*N84/100),2)+S84</f>
        <v>0</v>
      </c>
      <c r="S84" s="396"/>
      <c r="T84" s="301">
        <f>IF(Чорн!$R$1=1,H84,IF(Чорн!$R$1=2,H85,IF(Чорн!$R$1=3,H86,IF(Чорн!$R$1=4,H87,IF(Чорн!$R$1=5,H88,IF(Чорн!$R$1=6,H89,0))))))</f>
        <v>0</v>
      </c>
    </row>
    <row r="85" spans="1:20" ht="12" customHeight="1">
      <c r="A85" s="185">
        <v>2</v>
      </c>
      <c r="B85" s="296">
        <v>20</v>
      </c>
      <c r="C85" s="296">
        <v>1147</v>
      </c>
      <c r="D85" s="187"/>
      <c r="E85" s="298">
        <f aca="true" t="shared" si="16" ref="E85:E96">ROUND(C85*D85/100,2)</f>
        <v>0</v>
      </c>
      <c r="F85" s="297">
        <v>20</v>
      </c>
      <c r="G85" s="297">
        <v>2000</v>
      </c>
      <c r="H85" s="298">
        <f aca="true" t="shared" si="17" ref="H85:H95">ROUND(IF(G85&gt;=C85,E85,G85*D85/100),2)+I85</f>
        <v>0</v>
      </c>
      <c r="I85" s="396"/>
      <c r="K85" s="185">
        <v>2</v>
      </c>
      <c r="L85" s="296">
        <v>20</v>
      </c>
      <c r="M85" s="296">
        <v>1147</v>
      </c>
      <c r="N85" s="187"/>
      <c r="O85" s="298">
        <f aca="true" t="shared" si="18" ref="O85:O95">ROUND(M85*N85/100,2)</f>
        <v>0</v>
      </c>
      <c r="P85" s="297">
        <v>20</v>
      </c>
      <c r="Q85" s="297">
        <v>2000</v>
      </c>
      <c r="R85" s="298">
        <f aca="true" t="shared" si="19" ref="R85:R90">ROUND(IF(Q85&gt;=M85,O85,Q85*N85/100),2)+S85</f>
        <v>0</v>
      </c>
      <c r="S85" s="396"/>
      <c r="T85" s="651" t="s">
        <v>99</v>
      </c>
    </row>
    <row r="86" spans="1:21" ht="12" customHeight="1">
      <c r="A86" s="185">
        <v>3</v>
      </c>
      <c r="B86" s="296">
        <v>20</v>
      </c>
      <c r="C86" s="296">
        <v>1147</v>
      </c>
      <c r="D86" s="187"/>
      <c r="E86" s="298">
        <f t="shared" si="16"/>
        <v>0</v>
      </c>
      <c r="F86" s="297">
        <v>20</v>
      </c>
      <c r="G86" s="297">
        <v>2000</v>
      </c>
      <c r="H86" s="298">
        <f t="shared" si="17"/>
        <v>0</v>
      </c>
      <c r="I86" s="396"/>
      <c r="K86" s="185">
        <v>3</v>
      </c>
      <c r="L86" s="296">
        <v>20</v>
      </c>
      <c r="M86" s="296">
        <v>1147</v>
      </c>
      <c r="N86" s="187"/>
      <c r="O86" s="298">
        <f t="shared" si="18"/>
        <v>0</v>
      </c>
      <c r="P86" s="297">
        <v>20</v>
      </c>
      <c r="Q86" s="297">
        <v>2000</v>
      </c>
      <c r="R86" s="298">
        <f t="shared" si="19"/>
        <v>0</v>
      </c>
      <c r="S86" s="396"/>
      <c r="T86" s="651"/>
      <c r="U86" s="145"/>
    </row>
    <row r="87" spans="1:21" ht="12" customHeight="1">
      <c r="A87" s="185">
        <v>4</v>
      </c>
      <c r="B87" s="296">
        <v>22</v>
      </c>
      <c r="C87" s="296">
        <v>1147</v>
      </c>
      <c r="D87" s="187"/>
      <c r="E87" s="298">
        <f t="shared" si="16"/>
        <v>0</v>
      </c>
      <c r="F87" s="297">
        <v>22</v>
      </c>
      <c r="G87" s="297">
        <v>2000</v>
      </c>
      <c r="H87" s="298">
        <f t="shared" si="17"/>
        <v>0</v>
      </c>
      <c r="I87" s="396"/>
      <c r="K87" s="185">
        <v>4</v>
      </c>
      <c r="L87" s="296">
        <v>22</v>
      </c>
      <c r="M87" s="296">
        <v>1147</v>
      </c>
      <c r="N87" s="187"/>
      <c r="O87" s="298">
        <f t="shared" si="18"/>
        <v>0</v>
      </c>
      <c r="P87" s="297">
        <v>22</v>
      </c>
      <c r="Q87" s="297">
        <v>2000</v>
      </c>
      <c r="R87" s="298">
        <f t="shared" si="19"/>
        <v>0</v>
      </c>
      <c r="S87" s="396"/>
      <c r="T87" s="302">
        <f>IF(Чорн!$R$1=7,H90,IF(Чорн!$R$1=8,H91,IF(Чорн!$R$1=9,H92,IF(Чорн!$R$1=10,H93,IF(Чорн!$R$1=11,H94,IF(Чорн!$R$1=12,H95,0))))))</f>
        <v>0</v>
      </c>
      <c r="U87" s="145"/>
    </row>
    <row r="88" spans="1:21" ht="12" customHeight="1">
      <c r="A88" s="185">
        <v>5</v>
      </c>
      <c r="B88" s="296">
        <v>19</v>
      </c>
      <c r="C88" s="296">
        <v>1147</v>
      </c>
      <c r="D88" s="187"/>
      <c r="E88" s="298">
        <f t="shared" si="16"/>
        <v>0</v>
      </c>
      <c r="F88" s="297">
        <v>19</v>
      </c>
      <c r="G88" s="297">
        <v>2000</v>
      </c>
      <c r="H88" s="298">
        <f t="shared" si="17"/>
        <v>0</v>
      </c>
      <c r="I88" s="396"/>
      <c r="K88" s="185">
        <v>5</v>
      </c>
      <c r="L88" s="296">
        <v>19</v>
      </c>
      <c r="M88" s="296">
        <v>1147</v>
      </c>
      <c r="N88" s="187"/>
      <c r="O88" s="298">
        <f t="shared" si="18"/>
        <v>0</v>
      </c>
      <c r="P88" s="297">
        <v>19</v>
      </c>
      <c r="Q88" s="297">
        <v>2000</v>
      </c>
      <c r="R88" s="298">
        <f t="shared" si="19"/>
        <v>0</v>
      </c>
      <c r="S88" s="396"/>
      <c r="T88" s="146"/>
      <c r="U88" s="147"/>
    </row>
    <row r="89" spans="1:20" ht="12" customHeight="1">
      <c r="A89" s="185">
        <v>6</v>
      </c>
      <c r="B89" s="296">
        <v>18</v>
      </c>
      <c r="C89" s="296">
        <v>1147</v>
      </c>
      <c r="D89" s="187"/>
      <c r="E89" s="298">
        <f t="shared" si="16"/>
        <v>0</v>
      </c>
      <c r="F89" s="297">
        <v>18</v>
      </c>
      <c r="G89" s="297">
        <v>2000</v>
      </c>
      <c r="H89" s="298">
        <f t="shared" si="17"/>
        <v>0</v>
      </c>
      <c r="I89" s="396"/>
      <c r="K89" s="185">
        <v>6</v>
      </c>
      <c r="L89" s="296">
        <v>18</v>
      </c>
      <c r="M89" s="296">
        <v>1147</v>
      </c>
      <c r="N89" s="187"/>
      <c r="O89" s="298">
        <f t="shared" si="18"/>
        <v>0</v>
      </c>
      <c r="P89" s="297">
        <v>18</v>
      </c>
      <c r="Q89" s="297">
        <v>2000</v>
      </c>
      <c r="R89" s="298">
        <f t="shared" si="19"/>
        <v>0</v>
      </c>
      <c r="S89" s="396"/>
      <c r="T89" s="148"/>
    </row>
    <row r="90" spans="1:20" ht="12" customHeight="1">
      <c r="A90" s="185">
        <v>7</v>
      </c>
      <c r="B90" s="296">
        <v>23</v>
      </c>
      <c r="C90" s="296">
        <v>1147</v>
      </c>
      <c r="D90" s="187"/>
      <c r="E90" s="298">
        <f t="shared" si="16"/>
        <v>0</v>
      </c>
      <c r="F90" s="297">
        <v>23</v>
      </c>
      <c r="G90" s="297">
        <v>2000</v>
      </c>
      <c r="H90" s="298">
        <f t="shared" si="17"/>
        <v>0</v>
      </c>
      <c r="I90" s="396"/>
      <c r="K90" s="185">
        <v>7</v>
      </c>
      <c r="L90" s="296">
        <v>23</v>
      </c>
      <c r="M90" s="296">
        <v>1147</v>
      </c>
      <c r="N90" s="187"/>
      <c r="O90" s="298">
        <f t="shared" si="18"/>
        <v>0</v>
      </c>
      <c r="P90" s="297">
        <v>23</v>
      </c>
      <c r="Q90" s="297">
        <v>2000</v>
      </c>
      <c r="R90" s="298">
        <f t="shared" si="19"/>
        <v>0</v>
      </c>
      <c r="S90" s="396"/>
      <c r="T90" s="282">
        <f>K82</f>
        <v>0</v>
      </c>
    </row>
    <row r="91" spans="1:20" ht="12" customHeight="1">
      <c r="A91" s="185">
        <v>8</v>
      </c>
      <c r="B91" s="296">
        <v>21</v>
      </c>
      <c r="C91" s="296">
        <v>1147</v>
      </c>
      <c r="D91" s="187"/>
      <c r="E91" s="298">
        <f t="shared" si="16"/>
        <v>0</v>
      </c>
      <c r="F91" s="297">
        <v>21</v>
      </c>
      <c r="G91" s="297">
        <v>2000</v>
      </c>
      <c r="H91" s="298">
        <f t="shared" si="17"/>
        <v>0</v>
      </c>
      <c r="I91" s="396"/>
      <c r="K91" s="185">
        <v>8</v>
      </c>
      <c r="L91" s="296">
        <v>21</v>
      </c>
      <c r="M91" s="296">
        <v>1147</v>
      </c>
      <c r="N91" s="187"/>
      <c r="O91" s="298">
        <f t="shared" si="18"/>
        <v>0</v>
      </c>
      <c r="P91" s="297">
        <v>21</v>
      </c>
      <c r="Q91" s="297">
        <v>2000</v>
      </c>
      <c r="R91" s="298">
        <f>ROUND(IF(Q91&gt;=M91,O91,Q91*N91/100),2)+S91</f>
        <v>0</v>
      </c>
      <c r="S91" s="396"/>
      <c r="T91" s="652" t="s">
        <v>100</v>
      </c>
    </row>
    <row r="92" spans="1:20" ht="12" customHeight="1">
      <c r="A92" s="185">
        <v>9</v>
      </c>
      <c r="B92" s="296">
        <v>21</v>
      </c>
      <c r="C92" s="296">
        <v>1147</v>
      </c>
      <c r="D92" s="187"/>
      <c r="E92" s="298">
        <f t="shared" si="16"/>
        <v>0</v>
      </c>
      <c r="F92" s="297">
        <v>21</v>
      </c>
      <c r="G92" s="297">
        <v>2000</v>
      </c>
      <c r="H92" s="298">
        <f t="shared" si="17"/>
        <v>0</v>
      </c>
      <c r="I92" s="396"/>
      <c r="K92" s="185">
        <v>9</v>
      </c>
      <c r="L92" s="296">
        <v>21</v>
      </c>
      <c r="M92" s="296">
        <v>1147</v>
      </c>
      <c r="N92" s="187"/>
      <c r="O92" s="298">
        <f t="shared" si="18"/>
        <v>0</v>
      </c>
      <c r="P92" s="297">
        <v>21</v>
      </c>
      <c r="Q92" s="297">
        <v>2000</v>
      </c>
      <c r="R92" s="298">
        <f>ROUND(IF(Q92&gt;=M92,O92,Q92*N92/100),2)+S92</f>
        <v>0</v>
      </c>
      <c r="S92" s="396"/>
      <c r="T92" s="652"/>
    </row>
    <row r="93" spans="1:20" ht="12" customHeight="1">
      <c r="A93" s="185">
        <v>10</v>
      </c>
      <c r="B93" s="296">
        <v>23</v>
      </c>
      <c r="C93" s="296">
        <v>1147</v>
      </c>
      <c r="D93" s="187"/>
      <c r="E93" s="298">
        <f t="shared" si="16"/>
        <v>0</v>
      </c>
      <c r="F93" s="297">
        <v>23</v>
      </c>
      <c r="G93" s="297">
        <v>2000</v>
      </c>
      <c r="H93" s="298">
        <f t="shared" si="17"/>
        <v>0</v>
      </c>
      <c r="I93" s="396"/>
      <c r="K93" s="185">
        <v>10</v>
      </c>
      <c r="L93" s="296">
        <v>23</v>
      </c>
      <c r="M93" s="296">
        <v>1147</v>
      </c>
      <c r="N93" s="187"/>
      <c r="O93" s="298">
        <f t="shared" si="18"/>
        <v>0</v>
      </c>
      <c r="P93" s="297">
        <v>23</v>
      </c>
      <c r="Q93" s="297">
        <v>2000</v>
      </c>
      <c r="R93" s="298">
        <f>ROUND(IF(Q93&gt;=M93,O93,Q93*N93/100),2)+S93</f>
        <v>0</v>
      </c>
      <c r="S93" s="396"/>
      <c r="T93" s="301">
        <f>IF(Чорн!$R$1=1,R84,IF(Чорн!$R$1=2,R85,IF(Чорн!$R$1=3,R86,IF(Чорн!$R$1=4,R87,IF(Чорн!$R$1=5,R88,IF(Чорн!$R$1=6,R89,0))))))</f>
        <v>0</v>
      </c>
    </row>
    <row r="94" spans="1:20" ht="12" customHeight="1">
      <c r="A94" s="185">
        <v>11</v>
      </c>
      <c r="B94" s="296">
        <v>21</v>
      </c>
      <c r="C94" s="296">
        <v>1147</v>
      </c>
      <c r="D94" s="187"/>
      <c r="E94" s="298">
        <f t="shared" si="16"/>
        <v>0</v>
      </c>
      <c r="F94" s="297">
        <v>21</v>
      </c>
      <c r="G94" s="297">
        <v>2000</v>
      </c>
      <c r="H94" s="298">
        <f t="shared" si="17"/>
        <v>0</v>
      </c>
      <c r="I94" s="396"/>
      <c r="K94" s="185">
        <v>11</v>
      </c>
      <c r="L94" s="296">
        <v>21</v>
      </c>
      <c r="M94" s="296">
        <v>1147</v>
      </c>
      <c r="N94" s="187"/>
      <c r="O94" s="298">
        <f t="shared" si="18"/>
        <v>0</v>
      </c>
      <c r="P94" s="297">
        <v>21</v>
      </c>
      <c r="Q94" s="297">
        <v>2000</v>
      </c>
      <c r="R94" s="298">
        <f>ROUND(IF(Q94&gt;=M94,O94,Q94*N94/100),2)+S94</f>
        <v>0</v>
      </c>
      <c r="S94" s="396"/>
      <c r="T94" s="651" t="s">
        <v>99</v>
      </c>
    </row>
    <row r="95" spans="1:20" ht="12" customHeight="1">
      <c r="A95" s="185">
        <v>12</v>
      </c>
      <c r="B95" s="296">
        <v>22</v>
      </c>
      <c r="C95" s="296">
        <v>1218</v>
      </c>
      <c r="D95" s="187"/>
      <c r="E95" s="298">
        <f t="shared" si="16"/>
        <v>0</v>
      </c>
      <c r="F95" s="297">
        <v>22</v>
      </c>
      <c r="G95" s="297">
        <v>2000</v>
      </c>
      <c r="H95" s="298">
        <f t="shared" si="17"/>
        <v>0</v>
      </c>
      <c r="I95" s="396"/>
      <c r="K95" s="185">
        <v>12</v>
      </c>
      <c r="L95" s="296">
        <v>22</v>
      </c>
      <c r="M95" s="296">
        <v>1218</v>
      </c>
      <c r="N95" s="187"/>
      <c r="O95" s="298">
        <f t="shared" si="18"/>
        <v>0</v>
      </c>
      <c r="P95" s="297">
        <v>22</v>
      </c>
      <c r="Q95" s="297">
        <v>2000</v>
      </c>
      <c r="R95" s="298">
        <f>ROUND(IF(Q95&gt;=M95,O95,Q95*N95/100),2)+S95</f>
        <v>0</v>
      </c>
      <c r="S95" s="396"/>
      <c r="T95" s="651"/>
    </row>
    <row r="96" spans="1:20" ht="12" customHeight="1">
      <c r="A96" s="186" t="s">
        <v>62</v>
      </c>
      <c r="B96" s="296">
        <f>SUM(B84:B95)</f>
        <v>251</v>
      </c>
      <c r="C96" s="296"/>
      <c r="D96" s="185"/>
      <c r="E96" s="298">
        <f t="shared" si="16"/>
        <v>0</v>
      </c>
      <c r="F96" s="296">
        <f>SUM(F84:F95)</f>
        <v>251</v>
      </c>
      <c r="G96" s="296"/>
      <c r="H96" s="298">
        <f>SUM(H84:H95)</f>
        <v>0</v>
      </c>
      <c r="I96" s="298"/>
      <c r="K96" s="186" t="s">
        <v>62</v>
      </c>
      <c r="L96" s="296">
        <f>SUM(L84:L95)</f>
        <v>251</v>
      </c>
      <c r="M96" s="296"/>
      <c r="N96" s="185"/>
      <c r="O96" s="298">
        <f>SUM(O84:O95)</f>
        <v>0</v>
      </c>
      <c r="P96" s="296"/>
      <c r="Q96" s="296"/>
      <c r="R96" s="298">
        <f>SUM(R84:R95)</f>
        <v>0</v>
      </c>
      <c r="S96" s="298"/>
      <c r="T96" s="303">
        <f>IF(Чорн!$R$1=7,R90,IF(Чорн!$R$1=8,R91,IF(Чорн!$R$1=9,R92,IF(Чорн!$R$1=10,R93,IF(Чорн!$R$1=11,R94,IF(Чорн!$R$1=12,R95,0))))))</f>
        <v>0</v>
      </c>
    </row>
    <row r="97" spans="1:19" ht="12" customHeight="1">
      <c r="A97" s="246"/>
      <c r="B97" s="246"/>
      <c r="C97" s="246"/>
      <c r="D97" s="246"/>
      <c r="E97" s="246"/>
      <c r="F97" s="246"/>
      <c r="G97" s="246"/>
      <c r="H97" s="246"/>
      <c r="I97" s="281"/>
      <c r="K97" s="246"/>
      <c r="L97" s="246"/>
      <c r="M97" s="246"/>
      <c r="N97" s="246"/>
      <c r="O97" s="246"/>
      <c r="P97" s="246"/>
      <c r="Q97" s="246"/>
      <c r="R97" s="246"/>
      <c r="S97" s="281"/>
    </row>
    <row r="98" spans="1:19" ht="12" customHeight="1">
      <c r="A98" s="246"/>
      <c r="B98" s="246"/>
      <c r="C98" s="246"/>
      <c r="D98" s="246"/>
      <c r="E98" s="246"/>
      <c r="F98" s="246"/>
      <c r="G98" s="246"/>
      <c r="H98" s="246"/>
      <c r="I98" s="281"/>
      <c r="K98" s="246"/>
      <c r="L98" s="246"/>
      <c r="M98" s="246"/>
      <c r="N98" s="246"/>
      <c r="O98" s="246"/>
      <c r="P98" s="246"/>
      <c r="Q98" s="246"/>
      <c r="R98" s="246"/>
      <c r="S98" s="281"/>
    </row>
    <row r="99" spans="1:19" ht="12" customHeight="1">
      <c r="A99" s="246"/>
      <c r="B99" s="246"/>
      <c r="C99" s="246"/>
      <c r="D99" s="246"/>
      <c r="E99" s="246"/>
      <c r="F99" s="246"/>
      <c r="G99" s="246"/>
      <c r="H99" s="246"/>
      <c r="I99" s="281"/>
      <c r="K99" s="246"/>
      <c r="L99" s="246"/>
      <c r="M99" s="246"/>
      <c r="N99" s="246"/>
      <c r="O99" s="246"/>
      <c r="P99" s="246"/>
      <c r="Q99" s="246"/>
      <c r="R99" s="246"/>
      <c r="S99" s="281"/>
    </row>
    <row r="100" spans="1:19" ht="12" customHeight="1">
      <c r="A100" s="246"/>
      <c r="B100" s="246"/>
      <c r="C100" s="246"/>
      <c r="D100" s="246"/>
      <c r="E100" s="246"/>
      <c r="F100" s="246"/>
      <c r="G100" s="246"/>
      <c r="H100" s="246"/>
      <c r="I100" s="281"/>
      <c r="K100" s="246"/>
      <c r="L100" s="246"/>
      <c r="M100" s="246"/>
      <c r="N100" s="246"/>
      <c r="O100" s="246"/>
      <c r="P100" s="246"/>
      <c r="Q100" s="246"/>
      <c r="R100" s="246"/>
      <c r="S100" s="281"/>
    </row>
    <row r="102" spans="1:23" ht="12.75">
      <c r="A102" s="654">
        <f>Чорн!C18</f>
        <v>0</v>
      </c>
      <c r="B102" s="655"/>
      <c r="C102" s="655"/>
      <c r="D102" s="655"/>
      <c r="E102" s="655"/>
      <c r="F102" s="655"/>
      <c r="G102" s="655"/>
      <c r="H102" s="655"/>
      <c r="I102" s="656"/>
      <c r="K102" s="653">
        <f>Чорн!C19</f>
        <v>0</v>
      </c>
      <c r="L102" s="653"/>
      <c r="M102" s="653"/>
      <c r="N102" s="653"/>
      <c r="O102" s="653"/>
      <c r="P102" s="653"/>
      <c r="Q102" s="653"/>
      <c r="R102" s="653"/>
      <c r="S102" s="654"/>
      <c r="T102" s="282">
        <f>A102</f>
        <v>0</v>
      </c>
      <c r="U102" s="141"/>
      <c r="V102" s="142"/>
      <c r="W102" s="142"/>
    </row>
    <row r="103" spans="1:20" ht="45" customHeight="1">
      <c r="A103" s="143" t="s">
        <v>169</v>
      </c>
      <c r="B103" s="143" t="s">
        <v>170</v>
      </c>
      <c r="C103" s="143" t="s">
        <v>12</v>
      </c>
      <c r="D103" s="143" t="s">
        <v>171</v>
      </c>
      <c r="E103" s="143" t="s">
        <v>172</v>
      </c>
      <c r="F103" s="143" t="s">
        <v>173</v>
      </c>
      <c r="G103" s="143" t="s">
        <v>174</v>
      </c>
      <c r="H103" s="143" t="s">
        <v>175</v>
      </c>
      <c r="I103" s="143" t="s">
        <v>176</v>
      </c>
      <c r="J103" s="144"/>
      <c r="K103" s="143" t="s">
        <v>169</v>
      </c>
      <c r="L103" s="143" t="s">
        <v>170</v>
      </c>
      <c r="M103" s="143" t="s">
        <v>12</v>
      </c>
      <c r="N103" s="143" t="s">
        <v>171</v>
      </c>
      <c r="O103" s="143" t="s">
        <v>172</v>
      </c>
      <c r="P103" s="143" t="s">
        <v>173</v>
      </c>
      <c r="Q103" s="143" t="s">
        <v>174</v>
      </c>
      <c r="R103" s="143" t="s">
        <v>175</v>
      </c>
      <c r="S103" s="143" t="s">
        <v>176</v>
      </c>
      <c r="T103" s="128" t="s">
        <v>100</v>
      </c>
    </row>
    <row r="104" spans="1:20" ht="12" customHeight="1">
      <c r="A104" s="185">
        <v>1</v>
      </c>
      <c r="B104" s="296">
        <v>21</v>
      </c>
      <c r="C104" s="296">
        <v>1147</v>
      </c>
      <c r="D104" s="187"/>
      <c r="E104" s="298">
        <f>ROUND(C104*D104/100,2)</f>
        <v>0</v>
      </c>
      <c r="F104" s="297">
        <v>21</v>
      </c>
      <c r="G104" s="297">
        <v>2000</v>
      </c>
      <c r="H104" s="298">
        <f>ROUND(IF(G104&gt;=C104,E104,G104*D104/100),2)+I104</f>
        <v>0</v>
      </c>
      <c r="I104" s="396"/>
      <c r="K104" s="185">
        <v>1</v>
      </c>
      <c r="L104" s="296">
        <v>21</v>
      </c>
      <c r="M104" s="296">
        <v>1147</v>
      </c>
      <c r="N104" s="187"/>
      <c r="O104" s="298">
        <f>ROUND(M104*N104/100,2)</f>
        <v>0</v>
      </c>
      <c r="P104" s="297">
        <v>21</v>
      </c>
      <c r="Q104" s="297">
        <v>2000</v>
      </c>
      <c r="R104" s="298">
        <f>ROUND(IF(Q104&gt;=M104,O104,Q104*N104/100),2)+S104</f>
        <v>0</v>
      </c>
      <c r="S104" s="396"/>
      <c r="T104" s="301">
        <f>IF(Чорн!$R$1=1,H104,IF(Чорн!$R$1=2,H105,IF(Чорн!$R$1=3,H106,IF(Чорн!$R$1=4,H107,IF(Чорн!$R$1=5,H108,IF(Чорн!$R$1=6,H109,0))))))</f>
        <v>0</v>
      </c>
    </row>
    <row r="105" spans="1:20" ht="12" customHeight="1">
      <c r="A105" s="185">
        <v>2</v>
      </c>
      <c r="B105" s="296">
        <v>20</v>
      </c>
      <c r="C105" s="296">
        <v>1147</v>
      </c>
      <c r="D105" s="187"/>
      <c r="E105" s="298">
        <f aca="true" t="shared" si="20" ref="E105:E116">ROUND(C105*D105/100,2)</f>
        <v>0</v>
      </c>
      <c r="F105" s="297">
        <v>20</v>
      </c>
      <c r="G105" s="297">
        <v>2000</v>
      </c>
      <c r="H105" s="298">
        <f aca="true" t="shared" si="21" ref="H105:H115">ROUND(IF(G105&gt;=C105,E105,G105*D105/100),2)+I105</f>
        <v>0</v>
      </c>
      <c r="I105" s="396"/>
      <c r="K105" s="185">
        <v>2</v>
      </c>
      <c r="L105" s="296">
        <v>20</v>
      </c>
      <c r="M105" s="296">
        <v>1147</v>
      </c>
      <c r="N105" s="187"/>
      <c r="O105" s="298">
        <f aca="true" t="shared" si="22" ref="O105:O115">ROUND(M105*N105/100,2)</f>
        <v>0</v>
      </c>
      <c r="P105" s="297">
        <v>20</v>
      </c>
      <c r="Q105" s="297">
        <v>2000</v>
      </c>
      <c r="R105" s="298">
        <f aca="true" t="shared" si="23" ref="R105:R110">ROUND(IF(Q105&gt;=M105,O105,Q105*N105/100),2)+S105</f>
        <v>0</v>
      </c>
      <c r="S105" s="396"/>
      <c r="T105" s="651" t="s">
        <v>99</v>
      </c>
    </row>
    <row r="106" spans="1:21" ht="12" customHeight="1">
      <c r="A106" s="185">
        <v>3</v>
      </c>
      <c r="B106" s="296">
        <v>20</v>
      </c>
      <c r="C106" s="296">
        <v>1147</v>
      </c>
      <c r="D106" s="187"/>
      <c r="E106" s="298">
        <f t="shared" si="20"/>
        <v>0</v>
      </c>
      <c r="F106" s="297">
        <v>20</v>
      </c>
      <c r="G106" s="297">
        <v>2000</v>
      </c>
      <c r="H106" s="298">
        <f t="shared" si="21"/>
        <v>0</v>
      </c>
      <c r="I106" s="396"/>
      <c r="K106" s="185">
        <v>3</v>
      </c>
      <c r="L106" s="296">
        <v>20</v>
      </c>
      <c r="M106" s="296">
        <v>1147</v>
      </c>
      <c r="N106" s="187"/>
      <c r="O106" s="298">
        <f t="shared" si="22"/>
        <v>0</v>
      </c>
      <c r="P106" s="297">
        <v>20</v>
      </c>
      <c r="Q106" s="297">
        <v>2000</v>
      </c>
      <c r="R106" s="298">
        <f t="shared" si="23"/>
        <v>0</v>
      </c>
      <c r="S106" s="396"/>
      <c r="T106" s="651"/>
      <c r="U106" s="145"/>
    </row>
    <row r="107" spans="1:21" ht="12" customHeight="1">
      <c r="A107" s="185">
        <v>4</v>
      </c>
      <c r="B107" s="296">
        <v>22</v>
      </c>
      <c r="C107" s="296">
        <v>1147</v>
      </c>
      <c r="D107" s="187"/>
      <c r="E107" s="298">
        <f t="shared" si="20"/>
        <v>0</v>
      </c>
      <c r="F107" s="297">
        <v>22</v>
      </c>
      <c r="G107" s="297">
        <v>2000</v>
      </c>
      <c r="H107" s="298">
        <f t="shared" si="21"/>
        <v>0</v>
      </c>
      <c r="I107" s="396"/>
      <c r="K107" s="185">
        <v>4</v>
      </c>
      <c r="L107" s="296">
        <v>22</v>
      </c>
      <c r="M107" s="296">
        <v>1147</v>
      </c>
      <c r="N107" s="187"/>
      <c r="O107" s="298">
        <f t="shared" si="22"/>
        <v>0</v>
      </c>
      <c r="P107" s="297">
        <v>22</v>
      </c>
      <c r="Q107" s="297">
        <v>2000</v>
      </c>
      <c r="R107" s="298">
        <f t="shared" si="23"/>
        <v>0</v>
      </c>
      <c r="S107" s="396"/>
      <c r="T107" s="302">
        <f>IF(Чорн!$R$1=7,H110,IF(Чорн!$R$1=8,H111,IF(Чорн!$R$1=9,H112,IF(Чорн!$R$1=10,H113,IF(Чорн!$R$1=11,H114,IF(Чорн!$R$1=12,H115,0))))))</f>
        <v>0</v>
      </c>
      <c r="U107" s="145"/>
    </row>
    <row r="108" spans="1:21" ht="12" customHeight="1">
      <c r="A108" s="185">
        <v>5</v>
      </c>
      <c r="B108" s="296">
        <v>19</v>
      </c>
      <c r="C108" s="296">
        <v>1147</v>
      </c>
      <c r="D108" s="187"/>
      <c r="E108" s="298">
        <f t="shared" si="20"/>
        <v>0</v>
      </c>
      <c r="F108" s="297">
        <v>19</v>
      </c>
      <c r="G108" s="297">
        <v>2000</v>
      </c>
      <c r="H108" s="298">
        <f t="shared" si="21"/>
        <v>0</v>
      </c>
      <c r="I108" s="396"/>
      <c r="K108" s="185">
        <v>5</v>
      </c>
      <c r="L108" s="296">
        <v>19</v>
      </c>
      <c r="M108" s="296">
        <v>1147</v>
      </c>
      <c r="N108" s="187"/>
      <c r="O108" s="298">
        <f t="shared" si="22"/>
        <v>0</v>
      </c>
      <c r="P108" s="297">
        <v>19</v>
      </c>
      <c r="Q108" s="297">
        <v>2000</v>
      </c>
      <c r="R108" s="298">
        <f t="shared" si="23"/>
        <v>0</v>
      </c>
      <c r="S108" s="396"/>
      <c r="T108" s="146"/>
      <c r="U108" s="147"/>
    </row>
    <row r="109" spans="1:20" ht="12" customHeight="1">
      <c r="A109" s="185">
        <v>6</v>
      </c>
      <c r="B109" s="296">
        <v>18</v>
      </c>
      <c r="C109" s="296">
        <v>1147</v>
      </c>
      <c r="D109" s="187"/>
      <c r="E109" s="298">
        <f t="shared" si="20"/>
        <v>0</v>
      </c>
      <c r="F109" s="297">
        <v>18</v>
      </c>
      <c r="G109" s="297">
        <v>2000</v>
      </c>
      <c r="H109" s="298">
        <f t="shared" si="21"/>
        <v>0</v>
      </c>
      <c r="I109" s="396"/>
      <c r="K109" s="185">
        <v>6</v>
      </c>
      <c r="L109" s="296">
        <v>18</v>
      </c>
      <c r="M109" s="296">
        <v>1147</v>
      </c>
      <c r="N109" s="187"/>
      <c r="O109" s="298">
        <f t="shared" si="22"/>
        <v>0</v>
      </c>
      <c r="P109" s="297">
        <v>18</v>
      </c>
      <c r="Q109" s="297">
        <v>2000</v>
      </c>
      <c r="R109" s="298">
        <f t="shared" si="23"/>
        <v>0</v>
      </c>
      <c r="S109" s="396"/>
      <c r="T109" s="148"/>
    </row>
    <row r="110" spans="1:20" ht="12" customHeight="1">
      <c r="A110" s="185">
        <v>7</v>
      </c>
      <c r="B110" s="296">
        <v>23</v>
      </c>
      <c r="C110" s="296">
        <v>1147</v>
      </c>
      <c r="D110" s="187"/>
      <c r="E110" s="298">
        <f t="shared" si="20"/>
        <v>0</v>
      </c>
      <c r="F110" s="297">
        <v>23</v>
      </c>
      <c r="G110" s="297">
        <v>2000</v>
      </c>
      <c r="H110" s="298">
        <f t="shared" si="21"/>
        <v>0</v>
      </c>
      <c r="I110" s="396"/>
      <c r="K110" s="185">
        <v>7</v>
      </c>
      <c r="L110" s="296">
        <v>23</v>
      </c>
      <c r="M110" s="296">
        <v>1147</v>
      </c>
      <c r="N110" s="187"/>
      <c r="O110" s="298">
        <f t="shared" si="22"/>
        <v>0</v>
      </c>
      <c r="P110" s="297">
        <v>23</v>
      </c>
      <c r="Q110" s="297">
        <v>2000</v>
      </c>
      <c r="R110" s="298">
        <f t="shared" si="23"/>
        <v>0</v>
      </c>
      <c r="S110" s="396"/>
      <c r="T110" s="282">
        <f>K102</f>
        <v>0</v>
      </c>
    </row>
    <row r="111" spans="1:20" ht="12" customHeight="1">
      <c r="A111" s="185">
        <v>8</v>
      </c>
      <c r="B111" s="296">
        <v>21</v>
      </c>
      <c r="C111" s="296">
        <v>1147</v>
      </c>
      <c r="D111" s="187"/>
      <c r="E111" s="298">
        <f t="shared" si="20"/>
        <v>0</v>
      </c>
      <c r="F111" s="297">
        <v>21</v>
      </c>
      <c r="G111" s="297">
        <v>2000</v>
      </c>
      <c r="H111" s="298">
        <f t="shared" si="21"/>
        <v>0</v>
      </c>
      <c r="I111" s="396"/>
      <c r="K111" s="185">
        <v>8</v>
      </c>
      <c r="L111" s="296">
        <v>21</v>
      </c>
      <c r="M111" s="296">
        <v>1147</v>
      </c>
      <c r="N111" s="187"/>
      <c r="O111" s="298">
        <f t="shared" si="22"/>
        <v>0</v>
      </c>
      <c r="P111" s="297">
        <v>21</v>
      </c>
      <c r="Q111" s="297">
        <v>2000</v>
      </c>
      <c r="R111" s="298">
        <f>ROUND(IF(Q111&gt;=M111,O111,Q111*N111/100),2)+S111</f>
        <v>0</v>
      </c>
      <c r="S111" s="396"/>
      <c r="T111" s="652" t="s">
        <v>100</v>
      </c>
    </row>
    <row r="112" spans="1:20" ht="12" customHeight="1">
      <c r="A112" s="185">
        <v>9</v>
      </c>
      <c r="B112" s="296">
        <v>21</v>
      </c>
      <c r="C112" s="296">
        <v>1147</v>
      </c>
      <c r="D112" s="187"/>
      <c r="E112" s="298">
        <f t="shared" si="20"/>
        <v>0</v>
      </c>
      <c r="F112" s="297">
        <v>21</v>
      </c>
      <c r="G112" s="297">
        <v>2000</v>
      </c>
      <c r="H112" s="298">
        <f t="shared" si="21"/>
        <v>0</v>
      </c>
      <c r="I112" s="396"/>
      <c r="K112" s="185">
        <v>9</v>
      </c>
      <c r="L112" s="296">
        <v>21</v>
      </c>
      <c r="M112" s="296">
        <v>1147</v>
      </c>
      <c r="N112" s="187"/>
      <c r="O112" s="298">
        <f t="shared" si="22"/>
        <v>0</v>
      </c>
      <c r="P112" s="297">
        <v>21</v>
      </c>
      <c r="Q112" s="297">
        <v>2000</v>
      </c>
      <c r="R112" s="298">
        <f>ROUND(IF(Q112&gt;=M112,O112,Q112*N112/100),2)+S112</f>
        <v>0</v>
      </c>
      <c r="S112" s="396"/>
      <c r="T112" s="652"/>
    </row>
    <row r="113" spans="1:20" ht="12" customHeight="1">
      <c r="A113" s="185">
        <v>10</v>
      </c>
      <c r="B113" s="296">
        <v>23</v>
      </c>
      <c r="C113" s="296">
        <v>1147</v>
      </c>
      <c r="D113" s="187"/>
      <c r="E113" s="298">
        <f t="shared" si="20"/>
        <v>0</v>
      </c>
      <c r="F113" s="297">
        <v>23</v>
      </c>
      <c r="G113" s="297">
        <v>2000</v>
      </c>
      <c r="H113" s="298">
        <f t="shared" si="21"/>
        <v>0</v>
      </c>
      <c r="I113" s="396"/>
      <c r="K113" s="185">
        <v>10</v>
      </c>
      <c r="L113" s="296">
        <v>23</v>
      </c>
      <c r="M113" s="296">
        <v>1147</v>
      </c>
      <c r="N113" s="187"/>
      <c r="O113" s="298">
        <f t="shared" si="22"/>
        <v>0</v>
      </c>
      <c r="P113" s="297">
        <v>23</v>
      </c>
      <c r="Q113" s="297">
        <v>2000</v>
      </c>
      <c r="R113" s="298">
        <f>ROUND(IF(Q113&gt;=M113,O113,Q113*N113/100),2)+S113</f>
        <v>0</v>
      </c>
      <c r="S113" s="396"/>
      <c r="T113" s="301">
        <f>IF(Чорн!$R$1=1,R104,IF(Чорн!$R$1=2,R105,IF(Чорн!$R$1=3,R106,IF(Чорн!$R$1=4,R107,IF(Чорн!$R$1=5,R108,IF(Чорн!$R$1=6,R109,0))))))</f>
        <v>0</v>
      </c>
    </row>
    <row r="114" spans="1:20" ht="12" customHeight="1">
      <c r="A114" s="185">
        <v>11</v>
      </c>
      <c r="B114" s="296">
        <v>21</v>
      </c>
      <c r="C114" s="296">
        <v>1147</v>
      </c>
      <c r="D114" s="187"/>
      <c r="E114" s="298">
        <f t="shared" si="20"/>
        <v>0</v>
      </c>
      <c r="F114" s="297">
        <v>21</v>
      </c>
      <c r="G114" s="297">
        <v>2000</v>
      </c>
      <c r="H114" s="298">
        <f t="shared" si="21"/>
        <v>0</v>
      </c>
      <c r="I114" s="396"/>
      <c r="K114" s="185">
        <v>11</v>
      </c>
      <c r="L114" s="296">
        <v>21</v>
      </c>
      <c r="M114" s="296">
        <v>1147</v>
      </c>
      <c r="N114" s="187"/>
      <c r="O114" s="298">
        <f t="shared" si="22"/>
        <v>0</v>
      </c>
      <c r="P114" s="297">
        <v>21</v>
      </c>
      <c r="Q114" s="297">
        <v>2000</v>
      </c>
      <c r="R114" s="298">
        <f>ROUND(IF(Q114&gt;=M114,O114,Q114*N114/100),2)+S114</f>
        <v>0</v>
      </c>
      <c r="S114" s="396"/>
      <c r="T114" s="651" t="s">
        <v>99</v>
      </c>
    </row>
    <row r="115" spans="1:20" ht="12" customHeight="1">
      <c r="A115" s="185">
        <v>12</v>
      </c>
      <c r="B115" s="296">
        <v>22</v>
      </c>
      <c r="C115" s="296">
        <v>1218</v>
      </c>
      <c r="D115" s="187"/>
      <c r="E115" s="298">
        <f t="shared" si="20"/>
        <v>0</v>
      </c>
      <c r="F115" s="297">
        <v>22</v>
      </c>
      <c r="G115" s="297">
        <v>2000</v>
      </c>
      <c r="H115" s="298">
        <f t="shared" si="21"/>
        <v>0</v>
      </c>
      <c r="I115" s="396"/>
      <c r="K115" s="185">
        <v>12</v>
      </c>
      <c r="L115" s="296">
        <v>22</v>
      </c>
      <c r="M115" s="296">
        <v>1218</v>
      </c>
      <c r="N115" s="187"/>
      <c r="O115" s="298">
        <f t="shared" si="22"/>
        <v>0</v>
      </c>
      <c r="P115" s="297">
        <v>22</v>
      </c>
      <c r="Q115" s="297">
        <v>2000</v>
      </c>
      <c r="R115" s="298">
        <f>ROUND(IF(Q115&gt;=M115,O115,Q115*N115/100),2)+S115</f>
        <v>0</v>
      </c>
      <c r="S115" s="396"/>
      <c r="T115" s="651"/>
    </row>
    <row r="116" spans="1:20" ht="12" customHeight="1">
      <c r="A116" s="186" t="s">
        <v>62</v>
      </c>
      <c r="B116" s="296">
        <f>SUM(B104:B115)</f>
        <v>251</v>
      </c>
      <c r="C116" s="296"/>
      <c r="D116" s="185"/>
      <c r="E116" s="298">
        <f t="shared" si="20"/>
        <v>0</v>
      </c>
      <c r="F116" s="296">
        <f>SUM(F104:F115)</f>
        <v>251</v>
      </c>
      <c r="G116" s="296">
        <f>SUM(G104:G115)</f>
        <v>24000</v>
      </c>
      <c r="H116" s="298">
        <f>SUM(H104:H115)</f>
        <v>0</v>
      </c>
      <c r="I116" s="298"/>
      <c r="K116" s="186" t="s">
        <v>62</v>
      </c>
      <c r="L116" s="296">
        <f>SUM(L104:L115)</f>
        <v>251</v>
      </c>
      <c r="M116" s="296"/>
      <c r="N116" s="185"/>
      <c r="O116" s="298">
        <f>SUM(O104:O115)</f>
        <v>0</v>
      </c>
      <c r="P116" s="296">
        <f>SUM(P104:P115)</f>
        <v>251</v>
      </c>
      <c r="Q116" s="296">
        <f>SUM(Q104:Q115)</f>
        <v>24000</v>
      </c>
      <c r="R116" s="298">
        <f>SUM(R104:R115)</f>
        <v>0</v>
      </c>
      <c r="S116" s="298"/>
      <c r="T116" s="303">
        <f>IF(Чорн!$R$1=7,R110,IF(Чорн!$R$1=8,R111,IF(Чорн!$R$1=9,R112,IF(Чорн!$R$1=10,R113,IF(Чорн!$R$1=11,R114,IF(Чорн!$R$1=12,R115,0))))))</f>
        <v>0</v>
      </c>
    </row>
    <row r="117" spans="1:19" ht="12" customHeight="1">
      <c r="A117" s="246"/>
      <c r="B117" s="246"/>
      <c r="C117" s="246"/>
      <c r="D117" s="246"/>
      <c r="E117" s="246"/>
      <c r="F117" s="246"/>
      <c r="G117" s="246"/>
      <c r="H117" s="246"/>
      <c r="I117" s="281"/>
      <c r="K117" s="246"/>
      <c r="L117" s="246"/>
      <c r="M117" s="246"/>
      <c r="N117" s="246"/>
      <c r="O117" s="246"/>
      <c r="P117" s="246"/>
      <c r="Q117" s="246"/>
      <c r="R117" s="246"/>
      <c r="S117" s="281"/>
    </row>
    <row r="118" spans="1:19" ht="12" customHeight="1">
      <c r="A118" s="246"/>
      <c r="B118" s="246"/>
      <c r="C118" s="246"/>
      <c r="D118" s="246"/>
      <c r="E118" s="246"/>
      <c r="F118" s="246"/>
      <c r="G118" s="246"/>
      <c r="H118" s="246"/>
      <c r="I118" s="281"/>
      <c r="K118" s="246"/>
      <c r="L118" s="246"/>
      <c r="M118" s="246"/>
      <c r="N118" s="246"/>
      <c r="O118" s="246"/>
      <c r="P118" s="246"/>
      <c r="Q118" s="246"/>
      <c r="R118" s="246"/>
      <c r="S118" s="281"/>
    </row>
    <row r="119" spans="1:19" ht="12" customHeight="1">
      <c r="A119" s="246"/>
      <c r="B119" s="246"/>
      <c r="C119" s="246"/>
      <c r="D119" s="246"/>
      <c r="E119" s="246"/>
      <c r="F119" s="246"/>
      <c r="G119" s="246"/>
      <c r="H119" s="246"/>
      <c r="I119" s="281"/>
      <c r="K119" s="246"/>
      <c r="L119" s="246"/>
      <c r="M119" s="246"/>
      <c r="N119" s="246"/>
      <c r="O119" s="246"/>
      <c r="P119" s="246"/>
      <c r="Q119" s="246"/>
      <c r="R119" s="246"/>
      <c r="S119" s="281"/>
    </row>
    <row r="120" spans="1:19" ht="12" customHeight="1">
      <c r="A120" s="246"/>
      <c r="B120" s="246"/>
      <c r="C120" s="246"/>
      <c r="D120" s="246"/>
      <c r="E120" s="246"/>
      <c r="F120" s="246"/>
      <c r="G120" s="246"/>
      <c r="H120" s="246"/>
      <c r="I120" s="281"/>
      <c r="K120" s="246"/>
      <c r="L120" s="246"/>
      <c r="M120" s="246"/>
      <c r="N120" s="246"/>
      <c r="O120" s="246"/>
      <c r="P120" s="246"/>
      <c r="Q120" s="246"/>
      <c r="R120" s="246"/>
      <c r="S120" s="281"/>
    </row>
    <row r="121" ht="12" customHeight="1"/>
    <row r="122" spans="1:20" ht="12" customHeight="1">
      <c r="A122" s="654">
        <f>Чорн!C20</f>
        <v>0</v>
      </c>
      <c r="B122" s="655"/>
      <c r="C122" s="655"/>
      <c r="D122" s="655"/>
      <c r="E122" s="655"/>
      <c r="F122" s="655"/>
      <c r="G122" s="655"/>
      <c r="H122" s="655"/>
      <c r="I122" s="656"/>
      <c r="K122" s="654">
        <f>Чорн!C21</f>
        <v>0</v>
      </c>
      <c r="L122" s="655"/>
      <c r="M122" s="655"/>
      <c r="N122" s="655"/>
      <c r="O122" s="655"/>
      <c r="P122" s="655"/>
      <c r="Q122" s="655"/>
      <c r="R122" s="655"/>
      <c r="S122" s="656"/>
      <c r="T122" s="282">
        <f>A122</f>
        <v>0</v>
      </c>
    </row>
    <row r="123" spans="1:20" ht="45">
      <c r="A123" s="143" t="s">
        <v>169</v>
      </c>
      <c r="B123" s="143" t="s">
        <v>170</v>
      </c>
      <c r="C123" s="143" t="s">
        <v>12</v>
      </c>
      <c r="D123" s="143" t="s">
        <v>171</v>
      </c>
      <c r="E123" s="143" t="s">
        <v>172</v>
      </c>
      <c r="F123" s="143" t="s">
        <v>173</v>
      </c>
      <c r="G123" s="143" t="s">
        <v>174</v>
      </c>
      <c r="H123" s="143" t="s">
        <v>175</v>
      </c>
      <c r="I123" s="143" t="s">
        <v>176</v>
      </c>
      <c r="K123" s="143" t="s">
        <v>169</v>
      </c>
      <c r="L123" s="143" t="s">
        <v>170</v>
      </c>
      <c r="M123" s="143" t="s">
        <v>12</v>
      </c>
      <c r="N123" s="143" t="s">
        <v>171</v>
      </c>
      <c r="O123" s="143" t="s">
        <v>172</v>
      </c>
      <c r="P123" s="143" t="s">
        <v>173</v>
      </c>
      <c r="Q123" s="143" t="s">
        <v>174</v>
      </c>
      <c r="R123" s="143" t="s">
        <v>175</v>
      </c>
      <c r="S123" s="143" t="s">
        <v>176</v>
      </c>
      <c r="T123" s="128" t="s">
        <v>100</v>
      </c>
    </row>
    <row r="124" spans="1:20" ht="12" customHeight="1">
      <c r="A124" s="185">
        <v>1</v>
      </c>
      <c r="B124" s="296">
        <v>21</v>
      </c>
      <c r="C124" s="296">
        <v>1147</v>
      </c>
      <c r="D124" s="187"/>
      <c r="E124" s="298">
        <f>ROUND(C124*D124/100,2)</f>
        <v>0</v>
      </c>
      <c r="F124" s="297">
        <v>21</v>
      </c>
      <c r="G124" s="297">
        <v>2000</v>
      </c>
      <c r="H124" s="298">
        <f>ROUND(IF(G124&gt;=C124,E124,G124*D124/100),2)+I124</f>
        <v>0</v>
      </c>
      <c r="I124" s="396"/>
      <c r="K124" s="185">
        <v>1</v>
      </c>
      <c r="L124" s="296">
        <v>21</v>
      </c>
      <c r="M124" s="296">
        <v>1147</v>
      </c>
      <c r="N124" s="187"/>
      <c r="O124" s="298">
        <f>ROUND(M124*N124/100,2)</f>
        <v>0</v>
      </c>
      <c r="P124" s="297">
        <v>21</v>
      </c>
      <c r="Q124" s="297">
        <v>2000</v>
      </c>
      <c r="R124" s="298">
        <f>ROUND(IF(Q124&gt;=M124,O124,Q124*N124/100),2)+S124</f>
        <v>0</v>
      </c>
      <c r="S124" s="396"/>
      <c r="T124" s="301">
        <f>IF(Чорн!$R$1=1,H124,IF(Чорн!$R$1=2,H125,IF(Чорн!$R$1=3,H126,IF(Чорн!$R$1=4,H127,IF(Чорн!$R$1=5,H128,IF(Чорн!$R$1=6,H129,0))))))</f>
        <v>0</v>
      </c>
    </row>
    <row r="125" spans="1:20" ht="12" customHeight="1">
      <c r="A125" s="185">
        <v>2</v>
      </c>
      <c r="B125" s="296">
        <v>20</v>
      </c>
      <c r="C125" s="296">
        <v>1147</v>
      </c>
      <c r="D125" s="187"/>
      <c r="E125" s="298">
        <f aca="true" t="shared" si="24" ref="E125:E135">ROUND(C125*D125/100,2)</f>
        <v>0</v>
      </c>
      <c r="F125" s="297">
        <v>20</v>
      </c>
      <c r="G125" s="297">
        <v>2000</v>
      </c>
      <c r="H125" s="298">
        <f aca="true" t="shared" si="25" ref="H125:H135">ROUND(IF(G125&gt;=C125,E125,G125*D125/100),2)+I125</f>
        <v>0</v>
      </c>
      <c r="I125" s="396"/>
      <c r="K125" s="185">
        <v>2</v>
      </c>
      <c r="L125" s="296">
        <v>20</v>
      </c>
      <c r="M125" s="296">
        <v>1147</v>
      </c>
      <c r="N125" s="187"/>
      <c r="O125" s="298">
        <f aca="true" t="shared" si="26" ref="O125:O135">ROUND(M125*N125/100,2)</f>
        <v>0</v>
      </c>
      <c r="P125" s="297">
        <v>20</v>
      </c>
      <c r="Q125" s="297">
        <v>2000</v>
      </c>
      <c r="R125" s="298">
        <f aca="true" t="shared" si="27" ref="R125:R135">ROUND(IF(Q125&gt;=M125,O125,Q125*N125/100),2)+S125</f>
        <v>0</v>
      </c>
      <c r="S125" s="396"/>
      <c r="T125" s="651" t="s">
        <v>99</v>
      </c>
    </row>
    <row r="126" spans="1:20" ht="12" customHeight="1">
      <c r="A126" s="185">
        <v>3</v>
      </c>
      <c r="B126" s="296">
        <v>20</v>
      </c>
      <c r="C126" s="296">
        <v>1147</v>
      </c>
      <c r="D126" s="187"/>
      <c r="E126" s="298">
        <f t="shared" si="24"/>
        <v>0</v>
      </c>
      <c r="F126" s="297">
        <v>20</v>
      </c>
      <c r="G126" s="297">
        <v>2000</v>
      </c>
      <c r="H126" s="298">
        <f t="shared" si="25"/>
        <v>0</v>
      </c>
      <c r="I126" s="396"/>
      <c r="K126" s="185">
        <v>3</v>
      </c>
      <c r="L126" s="296">
        <v>20</v>
      </c>
      <c r="M126" s="296">
        <v>1147</v>
      </c>
      <c r="N126" s="187"/>
      <c r="O126" s="298">
        <f t="shared" si="26"/>
        <v>0</v>
      </c>
      <c r="P126" s="297">
        <v>20</v>
      </c>
      <c r="Q126" s="297">
        <v>2000</v>
      </c>
      <c r="R126" s="298">
        <f t="shared" si="27"/>
        <v>0</v>
      </c>
      <c r="S126" s="396"/>
      <c r="T126" s="651"/>
    </row>
    <row r="127" spans="1:20" ht="12" customHeight="1">
      <c r="A127" s="185">
        <v>4</v>
      </c>
      <c r="B127" s="296">
        <v>22</v>
      </c>
      <c r="C127" s="296">
        <v>1147</v>
      </c>
      <c r="D127" s="187"/>
      <c r="E127" s="298">
        <f t="shared" si="24"/>
        <v>0</v>
      </c>
      <c r="F127" s="297">
        <v>22</v>
      </c>
      <c r="G127" s="297">
        <v>2000</v>
      </c>
      <c r="H127" s="298">
        <f t="shared" si="25"/>
        <v>0</v>
      </c>
      <c r="I127" s="396"/>
      <c r="K127" s="185">
        <v>4</v>
      </c>
      <c r="L127" s="296">
        <v>22</v>
      </c>
      <c r="M127" s="296">
        <v>1147</v>
      </c>
      <c r="N127" s="187"/>
      <c r="O127" s="298">
        <f t="shared" si="26"/>
        <v>0</v>
      </c>
      <c r="P127" s="297">
        <v>22</v>
      </c>
      <c r="Q127" s="297">
        <v>2000</v>
      </c>
      <c r="R127" s="298">
        <f t="shared" si="27"/>
        <v>0</v>
      </c>
      <c r="S127" s="396"/>
      <c r="T127" s="302">
        <f>IF(Чорн!$R$1=7,H130,IF(Чорн!$R$1=8,H131,IF(Чорн!$R$1=9,H132,IF(Чорн!$R$1=10,H133,IF(Чорн!$R$1=11,H134,IF(Чорн!$R$1=12,H135,0))))))</f>
        <v>0</v>
      </c>
    </row>
    <row r="128" spans="1:20" ht="12" customHeight="1">
      <c r="A128" s="185">
        <v>5</v>
      </c>
      <c r="B128" s="296">
        <v>19</v>
      </c>
      <c r="C128" s="296">
        <v>1147</v>
      </c>
      <c r="D128" s="187"/>
      <c r="E128" s="298">
        <f t="shared" si="24"/>
        <v>0</v>
      </c>
      <c r="F128" s="297">
        <v>19</v>
      </c>
      <c r="G128" s="297">
        <v>2000</v>
      </c>
      <c r="H128" s="298">
        <f t="shared" si="25"/>
        <v>0</v>
      </c>
      <c r="I128" s="396"/>
      <c r="K128" s="185">
        <v>5</v>
      </c>
      <c r="L128" s="296">
        <v>19</v>
      </c>
      <c r="M128" s="296">
        <v>1147</v>
      </c>
      <c r="N128" s="187"/>
      <c r="O128" s="298">
        <f t="shared" si="26"/>
        <v>0</v>
      </c>
      <c r="P128" s="297">
        <v>19</v>
      </c>
      <c r="Q128" s="297">
        <v>2000</v>
      </c>
      <c r="R128" s="298">
        <f t="shared" si="27"/>
        <v>0</v>
      </c>
      <c r="S128" s="396"/>
      <c r="T128" s="146"/>
    </row>
    <row r="129" spans="1:20" ht="12" customHeight="1">
      <c r="A129" s="185">
        <v>6</v>
      </c>
      <c r="B129" s="296">
        <v>18</v>
      </c>
      <c r="C129" s="296">
        <v>1147</v>
      </c>
      <c r="D129" s="187"/>
      <c r="E129" s="298">
        <f t="shared" si="24"/>
        <v>0</v>
      </c>
      <c r="F129" s="297">
        <v>18</v>
      </c>
      <c r="G129" s="297">
        <v>2000</v>
      </c>
      <c r="H129" s="298">
        <f t="shared" si="25"/>
        <v>0</v>
      </c>
      <c r="I129" s="396"/>
      <c r="K129" s="185">
        <v>6</v>
      </c>
      <c r="L129" s="296">
        <v>18</v>
      </c>
      <c r="M129" s="296">
        <v>1147</v>
      </c>
      <c r="N129" s="187"/>
      <c r="O129" s="298">
        <f t="shared" si="26"/>
        <v>0</v>
      </c>
      <c r="P129" s="297">
        <v>18</v>
      </c>
      <c r="Q129" s="297">
        <v>2000</v>
      </c>
      <c r="R129" s="298">
        <f t="shared" si="27"/>
        <v>0</v>
      </c>
      <c r="S129" s="396"/>
      <c r="T129" s="148"/>
    </row>
    <row r="130" spans="1:20" ht="12" customHeight="1">
      <c r="A130" s="185">
        <v>7</v>
      </c>
      <c r="B130" s="296">
        <v>23</v>
      </c>
      <c r="C130" s="296">
        <v>1147</v>
      </c>
      <c r="D130" s="187"/>
      <c r="E130" s="298">
        <f t="shared" si="24"/>
        <v>0</v>
      </c>
      <c r="F130" s="297">
        <v>23</v>
      </c>
      <c r="G130" s="297">
        <v>2000</v>
      </c>
      <c r="H130" s="298">
        <f t="shared" si="25"/>
        <v>0</v>
      </c>
      <c r="I130" s="396"/>
      <c r="K130" s="185">
        <v>7</v>
      </c>
      <c r="L130" s="296">
        <v>23</v>
      </c>
      <c r="M130" s="296">
        <v>1147</v>
      </c>
      <c r="N130" s="187"/>
      <c r="O130" s="298">
        <f t="shared" si="26"/>
        <v>0</v>
      </c>
      <c r="P130" s="297">
        <v>23</v>
      </c>
      <c r="Q130" s="297">
        <v>2000</v>
      </c>
      <c r="R130" s="298">
        <f t="shared" si="27"/>
        <v>0</v>
      </c>
      <c r="S130" s="396"/>
      <c r="T130" s="282">
        <f>K122</f>
        <v>0</v>
      </c>
    </row>
    <row r="131" spans="1:20" ht="12" customHeight="1">
      <c r="A131" s="185">
        <v>8</v>
      </c>
      <c r="B131" s="296">
        <v>21</v>
      </c>
      <c r="C131" s="296">
        <v>1147</v>
      </c>
      <c r="D131" s="187"/>
      <c r="E131" s="298">
        <f t="shared" si="24"/>
        <v>0</v>
      </c>
      <c r="F131" s="297">
        <v>21</v>
      </c>
      <c r="G131" s="297">
        <v>2000</v>
      </c>
      <c r="H131" s="298">
        <f t="shared" si="25"/>
        <v>0</v>
      </c>
      <c r="I131" s="396"/>
      <c r="K131" s="185">
        <v>8</v>
      </c>
      <c r="L131" s="296">
        <v>21</v>
      </c>
      <c r="M131" s="296">
        <v>1147</v>
      </c>
      <c r="N131" s="187"/>
      <c r="O131" s="298">
        <f t="shared" si="26"/>
        <v>0</v>
      </c>
      <c r="P131" s="297">
        <v>21</v>
      </c>
      <c r="Q131" s="297">
        <v>2000</v>
      </c>
      <c r="R131" s="298">
        <f t="shared" si="27"/>
        <v>0</v>
      </c>
      <c r="S131" s="396"/>
      <c r="T131" s="652" t="s">
        <v>100</v>
      </c>
    </row>
    <row r="132" spans="1:20" ht="12" customHeight="1">
      <c r="A132" s="185">
        <v>9</v>
      </c>
      <c r="B132" s="296">
        <v>21</v>
      </c>
      <c r="C132" s="296">
        <v>1147</v>
      </c>
      <c r="D132" s="187"/>
      <c r="E132" s="298">
        <f t="shared" si="24"/>
        <v>0</v>
      </c>
      <c r="F132" s="297">
        <v>21</v>
      </c>
      <c r="G132" s="297">
        <v>2000</v>
      </c>
      <c r="H132" s="298">
        <f t="shared" si="25"/>
        <v>0</v>
      </c>
      <c r="I132" s="396"/>
      <c r="K132" s="185">
        <v>9</v>
      </c>
      <c r="L132" s="296">
        <v>21</v>
      </c>
      <c r="M132" s="296">
        <v>1147</v>
      </c>
      <c r="N132" s="187"/>
      <c r="O132" s="298">
        <f t="shared" si="26"/>
        <v>0</v>
      </c>
      <c r="P132" s="297">
        <v>21</v>
      </c>
      <c r="Q132" s="297">
        <v>2000</v>
      </c>
      <c r="R132" s="298">
        <f t="shared" si="27"/>
        <v>0</v>
      </c>
      <c r="S132" s="396"/>
      <c r="T132" s="652"/>
    </row>
    <row r="133" spans="1:20" ht="12" customHeight="1">
      <c r="A133" s="185">
        <v>10</v>
      </c>
      <c r="B133" s="296">
        <v>23</v>
      </c>
      <c r="C133" s="296">
        <v>1147</v>
      </c>
      <c r="D133" s="187"/>
      <c r="E133" s="298">
        <f t="shared" si="24"/>
        <v>0</v>
      </c>
      <c r="F133" s="297">
        <v>23</v>
      </c>
      <c r="G133" s="297">
        <v>2000</v>
      </c>
      <c r="H133" s="298">
        <f t="shared" si="25"/>
        <v>0</v>
      </c>
      <c r="I133" s="396"/>
      <c r="K133" s="185">
        <v>10</v>
      </c>
      <c r="L133" s="296">
        <v>23</v>
      </c>
      <c r="M133" s="296">
        <v>1147</v>
      </c>
      <c r="N133" s="187"/>
      <c r="O133" s="298">
        <f t="shared" si="26"/>
        <v>0</v>
      </c>
      <c r="P133" s="297">
        <v>23</v>
      </c>
      <c r="Q133" s="297">
        <v>2000</v>
      </c>
      <c r="R133" s="298">
        <f t="shared" si="27"/>
        <v>0</v>
      </c>
      <c r="S133" s="396"/>
      <c r="T133" s="301">
        <f>IF(Чорн!$R$1=1,R124,IF(Чорн!$R$1=2,R125,IF(Чорн!$R$1=3,R126,IF(Чорн!$R$1=4,R127,IF(Чорн!$R$1=5,R128,IF(Чорн!$R$1=6,R129,0))))))</f>
        <v>0</v>
      </c>
    </row>
    <row r="134" spans="1:20" ht="12" customHeight="1">
      <c r="A134" s="185">
        <v>11</v>
      </c>
      <c r="B134" s="296">
        <v>21</v>
      </c>
      <c r="C134" s="296">
        <v>1147</v>
      </c>
      <c r="D134" s="187"/>
      <c r="E134" s="298">
        <f t="shared" si="24"/>
        <v>0</v>
      </c>
      <c r="F134" s="297">
        <v>21</v>
      </c>
      <c r="G134" s="297">
        <v>2000</v>
      </c>
      <c r="H134" s="298">
        <f t="shared" si="25"/>
        <v>0</v>
      </c>
      <c r="I134" s="396"/>
      <c r="K134" s="185">
        <v>11</v>
      </c>
      <c r="L134" s="296">
        <v>21</v>
      </c>
      <c r="M134" s="296">
        <v>1147</v>
      </c>
      <c r="N134" s="187"/>
      <c r="O134" s="298">
        <f t="shared" si="26"/>
        <v>0</v>
      </c>
      <c r="P134" s="297">
        <v>21</v>
      </c>
      <c r="Q134" s="297">
        <v>2000</v>
      </c>
      <c r="R134" s="298">
        <f t="shared" si="27"/>
        <v>0</v>
      </c>
      <c r="S134" s="396"/>
      <c r="T134" s="651" t="s">
        <v>99</v>
      </c>
    </row>
    <row r="135" spans="1:20" ht="12" customHeight="1">
      <c r="A135" s="185">
        <v>12</v>
      </c>
      <c r="B135" s="296">
        <v>22</v>
      </c>
      <c r="C135" s="296">
        <v>1218</v>
      </c>
      <c r="D135" s="187"/>
      <c r="E135" s="298">
        <f t="shared" si="24"/>
        <v>0</v>
      </c>
      <c r="F135" s="297">
        <v>22</v>
      </c>
      <c r="G135" s="297">
        <v>2000</v>
      </c>
      <c r="H135" s="298">
        <f t="shared" si="25"/>
        <v>0</v>
      </c>
      <c r="I135" s="396"/>
      <c r="K135" s="185">
        <v>12</v>
      </c>
      <c r="L135" s="296">
        <v>22</v>
      </c>
      <c r="M135" s="296">
        <v>1218</v>
      </c>
      <c r="N135" s="187"/>
      <c r="O135" s="298">
        <f t="shared" si="26"/>
        <v>0</v>
      </c>
      <c r="P135" s="297">
        <v>22</v>
      </c>
      <c r="Q135" s="297">
        <v>2000</v>
      </c>
      <c r="R135" s="298">
        <f t="shared" si="27"/>
        <v>0</v>
      </c>
      <c r="S135" s="396"/>
      <c r="T135" s="651"/>
    </row>
    <row r="136" spans="1:20" ht="12" customHeight="1">
      <c r="A136" s="186" t="s">
        <v>62</v>
      </c>
      <c r="B136" s="296">
        <f>SUM(B124:B135)</f>
        <v>251</v>
      </c>
      <c r="C136" s="296"/>
      <c r="D136" s="185"/>
      <c r="E136" s="298">
        <f>SUM(E124:E135)</f>
        <v>0</v>
      </c>
      <c r="F136" s="296"/>
      <c r="G136" s="296"/>
      <c r="H136" s="298">
        <f>SUM(H124:H135)</f>
        <v>0</v>
      </c>
      <c r="I136" s="298"/>
      <c r="K136" s="186" t="s">
        <v>62</v>
      </c>
      <c r="L136" s="296">
        <f>SUM(L124:L135)</f>
        <v>251</v>
      </c>
      <c r="M136" s="296"/>
      <c r="N136" s="185"/>
      <c r="O136" s="298">
        <f>SUM(O124:O135)</f>
        <v>0</v>
      </c>
      <c r="P136" s="296"/>
      <c r="Q136" s="296"/>
      <c r="R136" s="298">
        <f>SUM(R124:R135)</f>
        <v>0</v>
      </c>
      <c r="S136" s="298"/>
      <c r="T136" s="303">
        <f>IF(Чорн!$R$1=7,R130,IF(Чорн!$R$1=8,R131,IF(Чорн!$R$1=9,R132,IF(Чорн!$R$1=10,R133,IF(Чорн!$R$1=11,R134,IF(Чорн!$R$1=12,R135,0))))))</f>
        <v>0</v>
      </c>
    </row>
    <row r="137" spans="1:19" ht="12" customHeight="1">
      <c r="A137" s="246"/>
      <c r="B137" s="246"/>
      <c r="C137" s="246"/>
      <c r="D137" s="246"/>
      <c r="E137" s="246"/>
      <c r="F137" s="246"/>
      <c r="G137" s="246"/>
      <c r="H137" s="246"/>
      <c r="I137" s="281"/>
      <c r="K137" s="246"/>
      <c r="L137" s="246"/>
      <c r="M137" s="246"/>
      <c r="N137" s="246"/>
      <c r="O137" s="246"/>
      <c r="P137" s="246"/>
      <c r="Q137" s="246"/>
      <c r="R137" s="246"/>
      <c r="S137" s="281"/>
    </row>
    <row r="138" spans="1:19" ht="12" customHeight="1">
      <c r="A138" s="246"/>
      <c r="B138" s="246"/>
      <c r="C138" s="246"/>
      <c r="D138" s="246"/>
      <c r="E138" s="246"/>
      <c r="F138" s="246"/>
      <c r="G138" s="246"/>
      <c r="H138" s="246"/>
      <c r="I138" s="281"/>
      <c r="K138" s="246"/>
      <c r="L138" s="246"/>
      <c r="M138" s="246"/>
      <c r="N138" s="246"/>
      <c r="O138" s="246"/>
      <c r="P138" s="246"/>
      <c r="Q138" s="246"/>
      <c r="R138" s="246"/>
      <c r="S138" s="281"/>
    </row>
    <row r="139" spans="1:19" ht="12" customHeight="1">
      <c r="A139" s="246"/>
      <c r="B139" s="246"/>
      <c r="C139" s="246"/>
      <c r="D139" s="246"/>
      <c r="E139" s="246"/>
      <c r="F139" s="246"/>
      <c r="G139" s="246"/>
      <c r="H139" s="246"/>
      <c r="I139" s="281"/>
      <c r="K139" s="246"/>
      <c r="L139" s="246"/>
      <c r="M139" s="246"/>
      <c r="N139" s="246"/>
      <c r="O139" s="246"/>
      <c r="P139" s="246"/>
      <c r="Q139" s="246"/>
      <c r="R139" s="246"/>
      <c r="S139" s="281"/>
    </row>
    <row r="140" spans="1:19" ht="12" customHeight="1">
      <c r="A140" s="246"/>
      <c r="B140" s="246"/>
      <c r="C140" s="246"/>
      <c r="D140" s="246"/>
      <c r="E140" s="246"/>
      <c r="F140" s="246"/>
      <c r="G140" s="246"/>
      <c r="H140" s="246"/>
      <c r="I140" s="281"/>
      <c r="K140" s="246"/>
      <c r="L140" s="246"/>
      <c r="M140" s="246"/>
      <c r="N140" s="246"/>
      <c r="O140" s="246"/>
      <c r="P140" s="246"/>
      <c r="Q140" s="246"/>
      <c r="R140" s="246"/>
      <c r="S140" s="281"/>
    </row>
    <row r="141" spans="1:19" ht="12" customHeight="1">
      <c r="A141" s="246"/>
      <c r="B141" s="246"/>
      <c r="C141" s="246"/>
      <c r="D141" s="246"/>
      <c r="E141" s="246"/>
      <c r="F141" s="246"/>
      <c r="G141" s="246"/>
      <c r="H141" s="246"/>
      <c r="I141" s="281"/>
      <c r="K141" s="246"/>
      <c r="L141" s="246"/>
      <c r="M141" s="246"/>
      <c r="N141" s="246"/>
      <c r="O141" s="246"/>
      <c r="P141" s="246"/>
      <c r="Q141" s="246"/>
      <c r="R141" s="246"/>
      <c r="S141" s="281"/>
    </row>
    <row r="142" spans="1:23" ht="12.75">
      <c r="A142" s="653">
        <f>Чорн!C22</f>
        <v>0</v>
      </c>
      <c r="B142" s="653"/>
      <c r="C142" s="653"/>
      <c r="D142" s="653"/>
      <c r="E142" s="653"/>
      <c r="F142" s="653"/>
      <c r="G142" s="653"/>
      <c r="H142" s="653"/>
      <c r="I142" s="653"/>
      <c r="K142" s="653">
        <f>Чорн!C23</f>
        <v>0</v>
      </c>
      <c r="L142" s="653"/>
      <c r="M142" s="653"/>
      <c r="N142" s="653"/>
      <c r="O142" s="653"/>
      <c r="P142" s="653"/>
      <c r="Q142" s="653"/>
      <c r="R142" s="653"/>
      <c r="S142" s="654"/>
      <c r="T142" s="282">
        <f>A142</f>
        <v>0</v>
      </c>
      <c r="U142" s="141"/>
      <c r="V142" s="142"/>
      <c r="W142" s="142"/>
    </row>
    <row r="143" spans="1:20" ht="45" customHeight="1">
      <c r="A143" s="143" t="s">
        <v>169</v>
      </c>
      <c r="B143" s="143" t="s">
        <v>170</v>
      </c>
      <c r="C143" s="143" t="s">
        <v>12</v>
      </c>
      <c r="D143" s="143" t="s">
        <v>171</v>
      </c>
      <c r="E143" s="143" t="s">
        <v>172</v>
      </c>
      <c r="F143" s="143" t="s">
        <v>173</v>
      </c>
      <c r="G143" s="143" t="s">
        <v>174</v>
      </c>
      <c r="H143" s="143" t="s">
        <v>175</v>
      </c>
      <c r="I143" s="143" t="s">
        <v>176</v>
      </c>
      <c r="J143" s="144"/>
      <c r="K143" s="143" t="s">
        <v>169</v>
      </c>
      <c r="L143" s="143" t="s">
        <v>170</v>
      </c>
      <c r="M143" s="143" t="s">
        <v>12</v>
      </c>
      <c r="N143" s="143" t="s">
        <v>171</v>
      </c>
      <c r="O143" s="143" t="s">
        <v>172</v>
      </c>
      <c r="P143" s="143" t="s">
        <v>173</v>
      </c>
      <c r="Q143" s="143" t="s">
        <v>174</v>
      </c>
      <c r="R143" s="143" t="s">
        <v>175</v>
      </c>
      <c r="S143" s="143" t="s">
        <v>176</v>
      </c>
      <c r="T143" s="128" t="s">
        <v>100</v>
      </c>
    </row>
    <row r="144" spans="1:20" ht="12" customHeight="1">
      <c r="A144" s="185">
        <v>1</v>
      </c>
      <c r="B144" s="296">
        <v>21</v>
      </c>
      <c r="C144" s="296">
        <v>1147</v>
      </c>
      <c r="D144" s="187"/>
      <c r="E144" s="298">
        <f>ROUND(C144*D144/100,2)</f>
        <v>0</v>
      </c>
      <c r="F144" s="297">
        <v>21</v>
      </c>
      <c r="G144" s="297">
        <v>2000</v>
      </c>
      <c r="H144" s="298">
        <f>ROUND(IF(G144&gt;=C144,E144,G144*D144/100),2)+I144</f>
        <v>0</v>
      </c>
      <c r="I144" s="396"/>
      <c r="K144" s="185">
        <v>1</v>
      </c>
      <c r="L144" s="296">
        <v>21</v>
      </c>
      <c r="M144" s="296">
        <v>1147</v>
      </c>
      <c r="N144" s="187"/>
      <c r="O144" s="298">
        <f>ROUND(M144*N144/100,2)</f>
        <v>0</v>
      </c>
      <c r="P144" s="297">
        <v>21</v>
      </c>
      <c r="Q144" s="297">
        <v>2000</v>
      </c>
      <c r="R144" s="298">
        <f>ROUND(IF(Q144&gt;=M144,O144,Q144*N144/100),2)+S144</f>
        <v>0</v>
      </c>
      <c r="S144" s="396"/>
      <c r="T144" s="301">
        <f>IF(Чорн!$R$1=1,H144,IF(Чорн!$R$1=2,H145,IF(Чорн!$R$1=3,H146,IF(Чорн!$R$1=4,H147,IF(Чорн!$R$1=5,H148,IF(Чорн!$R$1=6,H149,0))))))</f>
        <v>0</v>
      </c>
    </row>
    <row r="145" spans="1:20" ht="12" customHeight="1">
      <c r="A145" s="185">
        <v>2</v>
      </c>
      <c r="B145" s="296">
        <v>20</v>
      </c>
      <c r="C145" s="296">
        <v>1147</v>
      </c>
      <c r="D145" s="187"/>
      <c r="E145" s="298">
        <f aca="true" t="shared" si="28" ref="E145:E156">ROUND(C145*D145/100,2)</f>
        <v>0</v>
      </c>
      <c r="F145" s="297">
        <v>20</v>
      </c>
      <c r="G145" s="297">
        <v>2000</v>
      </c>
      <c r="H145" s="298">
        <f aca="true" t="shared" si="29" ref="H145:H155">ROUND(IF(G145&gt;=C145,E145,G145*D145/100),2)+I145</f>
        <v>0</v>
      </c>
      <c r="I145" s="396"/>
      <c r="K145" s="185">
        <v>2</v>
      </c>
      <c r="L145" s="296">
        <v>20</v>
      </c>
      <c r="M145" s="296">
        <v>1147</v>
      </c>
      <c r="N145" s="187"/>
      <c r="O145" s="298">
        <f aca="true" t="shared" si="30" ref="O145:O155">ROUND(M145*N145/100,2)</f>
        <v>0</v>
      </c>
      <c r="P145" s="297">
        <v>20</v>
      </c>
      <c r="Q145" s="297">
        <v>2000</v>
      </c>
      <c r="R145" s="298">
        <f aca="true" t="shared" si="31" ref="R145:R150">ROUND(IF(Q145&gt;=M145,O145,Q145*N145/100),2)+S145</f>
        <v>0</v>
      </c>
      <c r="S145" s="396"/>
      <c r="T145" s="651" t="s">
        <v>99</v>
      </c>
    </row>
    <row r="146" spans="1:21" ht="12" customHeight="1">
      <c r="A146" s="185">
        <v>3</v>
      </c>
      <c r="B146" s="296">
        <v>20</v>
      </c>
      <c r="C146" s="296">
        <v>1147</v>
      </c>
      <c r="D146" s="187"/>
      <c r="E146" s="298">
        <f t="shared" si="28"/>
        <v>0</v>
      </c>
      <c r="F146" s="297">
        <v>20</v>
      </c>
      <c r="G146" s="297">
        <v>2000</v>
      </c>
      <c r="H146" s="298">
        <f t="shared" si="29"/>
        <v>0</v>
      </c>
      <c r="I146" s="396"/>
      <c r="K146" s="185">
        <v>3</v>
      </c>
      <c r="L146" s="296">
        <v>20</v>
      </c>
      <c r="M146" s="296">
        <v>1147</v>
      </c>
      <c r="N146" s="187"/>
      <c r="O146" s="298">
        <f t="shared" si="30"/>
        <v>0</v>
      </c>
      <c r="P146" s="297">
        <v>20</v>
      </c>
      <c r="Q146" s="297">
        <v>2000</v>
      </c>
      <c r="R146" s="298">
        <f t="shared" si="31"/>
        <v>0</v>
      </c>
      <c r="S146" s="396"/>
      <c r="T146" s="651"/>
      <c r="U146" s="145"/>
    </row>
    <row r="147" spans="1:21" ht="12" customHeight="1">
      <c r="A147" s="185">
        <v>4</v>
      </c>
      <c r="B147" s="296">
        <v>22</v>
      </c>
      <c r="C147" s="296">
        <v>1147</v>
      </c>
      <c r="D147" s="187"/>
      <c r="E147" s="298">
        <f t="shared" si="28"/>
        <v>0</v>
      </c>
      <c r="F147" s="297">
        <v>22</v>
      </c>
      <c r="G147" s="297">
        <v>2000</v>
      </c>
      <c r="H147" s="298">
        <f t="shared" si="29"/>
        <v>0</v>
      </c>
      <c r="I147" s="396"/>
      <c r="K147" s="185">
        <v>4</v>
      </c>
      <c r="L147" s="296">
        <v>22</v>
      </c>
      <c r="M147" s="296">
        <v>1147</v>
      </c>
      <c r="N147" s="187"/>
      <c r="O147" s="298">
        <f t="shared" si="30"/>
        <v>0</v>
      </c>
      <c r="P147" s="297">
        <v>22</v>
      </c>
      <c r="Q147" s="297">
        <v>2000</v>
      </c>
      <c r="R147" s="298">
        <f t="shared" si="31"/>
        <v>0</v>
      </c>
      <c r="S147" s="396"/>
      <c r="T147" s="302">
        <f>IF(Чорн!$R$1=7,H150,IF(Чорн!$R$1=8,H151,IF(Чорн!$R$1=9,H152,IF(Чорн!$R$1=10,H153,IF(Чорн!$R$1=11,H154,IF(Чорн!$R$1=12,H155,0))))))</f>
        <v>0</v>
      </c>
      <c r="U147" s="145"/>
    </row>
    <row r="148" spans="1:21" ht="12" customHeight="1">
      <c r="A148" s="185">
        <v>5</v>
      </c>
      <c r="B148" s="296">
        <v>19</v>
      </c>
      <c r="C148" s="296">
        <v>1147</v>
      </c>
      <c r="D148" s="187"/>
      <c r="E148" s="298">
        <f t="shared" si="28"/>
        <v>0</v>
      </c>
      <c r="F148" s="297">
        <v>19</v>
      </c>
      <c r="G148" s="297">
        <v>2000</v>
      </c>
      <c r="H148" s="298">
        <f t="shared" si="29"/>
        <v>0</v>
      </c>
      <c r="I148" s="396"/>
      <c r="K148" s="185">
        <v>5</v>
      </c>
      <c r="L148" s="296">
        <v>19</v>
      </c>
      <c r="M148" s="296">
        <v>1147</v>
      </c>
      <c r="N148" s="187"/>
      <c r="O148" s="298">
        <f t="shared" si="30"/>
        <v>0</v>
      </c>
      <c r="P148" s="297">
        <v>19</v>
      </c>
      <c r="Q148" s="297">
        <v>2000</v>
      </c>
      <c r="R148" s="298">
        <f t="shared" si="31"/>
        <v>0</v>
      </c>
      <c r="S148" s="396"/>
      <c r="T148" s="146"/>
      <c r="U148" s="147"/>
    </row>
    <row r="149" spans="1:20" ht="12" customHeight="1">
      <c r="A149" s="185">
        <v>6</v>
      </c>
      <c r="B149" s="296">
        <v>18</v>
      </c>
      <c r="C149" s="296">
        <v>1147</v>
      </c>
      <c r="D149" s="187"/>
      <c r="E149" s="298">
        <f t="shared" si="28"/>
        <v>0</v>
      </c>
      <c r="F149" s="297">
        <v>18</v>
      </c>
      <c r="G149" s="297">
        <v>2000</v>
      </c>
      <c r="H149" s="298">
        <f t="shared" si="29"/>
        <v>0</v>
      </c>
      <c r="I149" s="396"/>
      <c r="K149" s="185">
        <v>6</v>
      </c>
      <c r="L149" s="296">
        <v>18</v>
      </c>
      <c r="M149" s="296">
        <v>1147</v>
      </c>
      <c r="N149" s="187"/>
      <c r="O149" s="298">
        <f t="shared" si="30"/>
        <v>0</v>
      </c>
      <c r="P149" s="297">
        <v>18</v>
      </c>
      <c r="Q149" s="297">
        <v>2000</v>
      </c>
      <c r="R149" s="298">
        <f t="shared" si="31"/>
        <v>0</v>
      </c>
      <c r="S149" s="396"/>
      <c r="T149" s="148"/>
    </row>
    <row r="150" spans="1:20" ht="12" customHeight="1">
      <c r="A150" s="185">
        <v>7</v>
      </c>
      <c r="B150" s="296">
        <v>23</v>
      </c>
      <c r="C150" s="296">
        <v>1147</v>
      </c>
      <c r="D150" s="187"/>
      <c r="E150" s="298">
        <f t="shared" si="28"/>
        <v>0</v>
      </c>
      <c r="F150" s="297">
        <v>23</v>
      </c>
      <c r="G150" s="297">
        <v>2000</v>
      </c>
      <c r="H150" s="298">
        <f t="shared" si="29"/>
        <v>0</v>
      </c>
      <c r="I150" s="396"/>
      <c r="K150" s="185">
        <v>7</v>
      </c>
      <c r="L150" s="296">
        <v>23</v>
      </c>
      <c r="M150" s="296">
        <v>1147</v>
      </c>
      <c r="N150" s="187"/>
      <c r="O150" s="298">
        <f t="shared" si="30"/>
        <v>0</v>
      </c>
      <c r="P150" s="297">
        <v>23</v>
      </c>
      <c r="Q150" s="297">
        <v>2000</v>
      </c>
      <c r="R150" s="298">
        <f t="shared" si="31"/>
        <v>0</v>
      </c>
      <c r="S150" s="396"/>
      <c r="T150" s="282">
        <f>K142</f>
        <v>0</v>
      </c>
    </row>
    <row r="151" spans="1:20" ht="12" customHeight="1">
      <c r="A151" s="185">
        <v>8</v>
      </c>
      <c r="B151" s="296">
        <v>21</v>
      </c>
      <c r="C151" s="296">
        <v>1147</v>
      </c>
      <c r="D151" s="187"/>
      <c r="E151" s="298">
        <f t="shared" si="28"/>
        <v>0</v>
      </c>
      <c r="F151" s="297">
        <v>21</v>
      </c>
      <c r="G151" s="297">
        <v>2000</v>
      </c>
      <c r="H151" s="298">
        <f t="shared" si="29"/>
        <v>0</v>
      </c>
      <c r="I151" s="396"/>
      <c r="K151" s="185">
        <v>8</v>
      </c>
      <c r="L151" s="296">
        <v>21</v>
      </c>
      <c r="M151" s="296">
        <v>1147</v>
      </c>
      <c r="N151" s="187"/>
      <c r="O151" s="298">
        <f t="shared" si="30"/>
        <v>0</v>
      </c>
      <c r="P151" s="297">
        <v>21</v>
      </c>
      <c r="Q151" s="297">
        <v>2000</v>
      </c>
      <c r="R151" s="298">
        <f>ROUND(IF(Q151&gt;=M151,O151,Q151*N151/100),2)+S151</f>
        <v>0</v>
      </c>
      <c r="S151" s="396"/>
      <c r="T151" s="652" t="s">
        <v>100</v>
      </c>
    </row>
    <row r="152" spans="1:20" ht="12" customHeight="1">
      <c r="A152" s="185">
        <v>9</v>
      </c>
      <c r="B152" s="296">
        <v>21</v>
      </c>
      <c r="C152" s="296">
        <v>1147</v>
      </c>
      <c r="D152" s="187"/>
      <c r="E152" s="298">
        <f t="shared" si="28"/>
        <v>0</v>
      </c>
      <c r="F152" s="297">
        <v>21</v>
      </c>
      <c r="G152" s="297">
        <v>2000</v>
      </c>
      <c r="H152" s="298">
        <f t="shared" si="29"/>
        <v>0</v>
      </c>
      <c r="I152" s="396"/>
      <c r="K152" s="185">
        <v>9</v>
      </c>
      <c r="L152" s="296">
        <v>21</v>
      </c>
      <c r="M152" s="296">
        <v>1147</v>
      </c>
      <c r="N152" s="187"/>
      <c r="O152" s="298">
        <f t="shared" si="30"/>
        <v>0</v>
      </c>
      <c r="P152" s="297">
        <v>21</v>
      </c>
      <c r="Q152" s="297">
        <v>2000</v>
      </c>
      <c r="R152" s="298">
        <f>ROUND(IF(Q152&gt;=M152,O152,Q152*N152/100),2)+S152</f>
        <v>0</v>
      </c>
      <c r="S152" s="396"/>
      <c r="T152" s="652"/>
    </row>
    <row r="153" spans="1:20" ht="12" customHeight="1">
      <c r="A153" s="185">
        <v>10</v>
      </c>
      <c r="B153" s="296">
        <v>23</v>
      </c>
      <c r="C153" s="296">
        <v>1147</v>
      </c>
      <c r="D153" s="187"/>
      <c r="E153" s="298">
        <f t="shared" si="28"/>
        <v>0</v>
      </c>
      <c r="F153" s="297">
        <v>23</v>
      </c>
      <c r="G153" s="297">
        <v>2000</v>
      </c>
      <c r="H153" s="298">
        <f t="shared" si="29"/>
        <v>0</v>
      </c>
      <c r="I153" s="396"/>
      <c r="K153" s="185">
        <v>10</v>
      </c>
      <c r="L153" s="296">
        <v>23</v>
      </c>
      <c r="M153" s="296">
        <v>1147</v>
      </c>
      <c r="N153" s="187"/>
      <c r="O153" s="298">
        <f t="shared" si="30"/>
        <v>0</v>
      </c>
      <c r="P153" s="297">
        <v>23</v>
      </c>
      <c r="Q153" s="297">
        <v>2000</v>
      </c>
      <c r="R153" s="298">
        <f>ROUND(IF(Q153&gt;=M153,O153,Q153*N153/100),2)+S153</f>
        <v>0</v>
      </c>
      <c r="S153" s="396"/>
      <c r="T153" s="301">
        <f>IF(Чорн!$R$1=1,R144,IF(Чорн!$R$1=2,R145,IF(Чорн!$R$1=3,R146,IF(Чорн!$R$1=4,R147,IF(Чорн!$R$1=5,R148,IF(Чорн!$R$1=6,R149,0))))))</f>
        <v>0</v>
      </c>
    </row>
    <row r="154" spans="1:20" ht="12" customHeight="1">
      <c r="A154" s="185">
        <v>11</v>
      </c>
      <c r="B154" s="296">
        <v>21</v>
      </c>
      <c r="C154" s="296">
        <v>1147</v>
      </c>
      <c r="D154" s="187"/>
      <c r="E154" s="298">
        <f t="shared" si="28"/>
        <v>0</v>
      </c>
      <c r="F154" s="297">
        <v>21</v>
      </c>
      <c r="G154" s="297">
        <v>2000</v>
      </c>
      <c r="H154" s="298">
        <f t="shared" si="29"/>
        <v>0</v>
      </c>
      <c r="I154" s="396"/>
      <c r="K154" s="185">
        <v>11</v>
      </c>
      <c r="L154" s="296">
        <v>21</v>
      </c>
      <c r="M154" s="296">
        <v>1147</v>
      </c>
      <c r="N154" s="187"/>
      <c r="O154" s="298">
        <f t="shared" si="30"/>
        <v>0</v>
      </c>
      <c r="P154" s="297">
        <v>21</v>
      </c>
      <c r="Q154" s="297">
        <v>2000</v>
      </c>
      <c r="R154" s="298">
        <f>ROUND(IF(Q154&gt;=M154,O154,Q154*N154/100),2)+S154</f>
        <v>0</v>
      </c>
      <c r="S154" s="396"/>
      <c r="T154" s="651" t="s">
        <v>99</v>
      </c>
    </row>
    <row r="155" spans="1:20" ht="12" customHeight="1">
      <c r="A155" s="185">
        <v>12</v>
      </c>
      <c r="B155" s="296">
        <v>22</v>
      </c>
      <c r="C155" s="296">
        <v>1218</v>
      </c>
      <c r="D155" s="187"/>
      <c r="E155" s="298">
        <f t="shared" si="28"/>
        <v>0</v>
      </c>
      <c r="F155" s="297">
        <v>22</v>
      </c>
      <c r="G155" s="297">
        <v>2000</v>
      </c>
      <c r="H155" s="298">
        <f t="shared" si="29"/>
        <v>0</v>
      </c>
      <c r="I155" s="396"/>
      <c r="K155" s="185">
        <v>12</v>
      </c>
      <c r="L155" s="296">
        <v>22</v>
      </c>
      <c r="M155" s="296">
        <v>1218</v>
      </c>
      <c r="N155" s="187"/>
      <c r="O155" s="298">
        <f t="shared" si="30"/>
        <v>0</v>
      </c>
      <c r="P155" s="297">
        <v>22</v>
      </c>
      <c r="Q155" s="297">
        <v>2000</v>
      </c>
      <c r="R155" s="298">
        <f>ROUND(IF(Q155&gt;=M155,O155,Q155*N155/100),2)+S155</f>
        <v>0</v>
      </c>
      <c r="S155" s="396"/>
      <c r="T155" s="651"/>
    </row>
    <row r="156" spans="1:20" ht="12" customHeight="1">
      <c r="A156" s="186" t="s">
        <v>62</v>
      </c>
      <c r="B156" s="296">
        <f>SUM(B144:B155)</f>
        <v>251</v>
      </c>
      <c r="C156" s="296"/>
      <c r="D156" s="185"/>
      <c r="E156" s="298">
        <f t="shared" si="28"/>
        <v>0</v>
      </c>
      <c r="F156" s="296">
        <f>SUM(F144:F155)</f>
        <v>251</v>
      </c>
      <c r="G156" s="296"/>
      <c r="H156" s="298">
        <f>SUM(H144:H155)</f>
        <v>0</v>
      </c>
      <c r="I156" s="298"/>
      <c r="K156" s="186" t="s">
        <v>62</v>
      </c>
      <c r="L156" s="296">
        <f>SUM(L144:L155)</f>
        <v>251</v>
      </c>
      <c r="M156" s="296"/>
      <c r="N156" s="185"/>
      <c r="O156" s="298">
        <f>SUM(O144:O155)</f>
        <v>0</v>
      </c>
      <c r="P156" s="296"/>
      <c r="Q156" s="296"/>
      <c r="R156" s="298">
        <f>SUM(R144:R155)</f>
        <v>0</v>
      </c>
      <c r="S156" s="298"/>
      <c r="T156" s="303">
        <f>IF(Чорн!$R$1=7,R150,IF(Чорн!$R$1=8,R151,IF(Чорн!$R$1=9,R152,IF(Чорн!$R$1=10,R153,IF(Чорн!$R$1=11,R154,IF(Чорн!$R$1=12,R155,0))))))</f>
        <v>0</v>
      </c>
    </row>
    <row r="157" spans="1:19" ht="12" customHeight="1">
      <c r="A157" s="564"/>
      <c r="B157" s="564"/>
      <c r="C157" s="564"/>
      <c r="D157" s="564"/>
      <c r="E157" s="564"/>
      <c r="F157" s="564"/>
      <c r="G157" s="564"/>
      <c r="H157" s="564"/>
      <c r="I157" s="281"/>
      <c r="J157" s="220"/>
      <c r="K157" s="564"/>
      <c r="L157" s="564"/>
      <c r="M157" s="564"/>
      <c r="N157" s="564"/>
      <c r="O157" s="564"/>
      <c r="P157" s="564"/>
      <c r="Q157" s="564"/>
      <c r="R157" s="564"/>
      <c r="S157" s="281"/>
    </row>
    <row r="158" spans="1:19" ht="12" customHeight="1">
      <c r="A158" s="246"/>
      <c r="B158" s="246"/>
      <c r="C158" s="246"/>
      <c r="D158" s="246"/>
      <c r="E158" s="246"/>
      <c r="F158" s="246"/>
      <c r="G158" s="246"/>
      <c r="H158" s="246"/>
      <c r="I158" s="281"/>
      <c r="J158" s="220"/>
      <c r="K158" s="246"/>
      <c r="L158" s="246"/>
      <c r="M158" s="246"/>
      <c r="N158" s="246"/>
      <c r="O158" s="246"/>
      <c r="P158" s="246"/>
      <c r="Q158" s="246"/>
      <c r="R158" s="246"/>
      <c r="S158" s="281"/>
    </row>
    <row r="159" spans="6:15" ht="16.5" customHeight="1">
      <c r="F159" s="661" t="str">
        <f>Дані!B12</f>
        <v>Головний бухгалтер</v>
      </c>
      <c r="G159" s="661"/>
      <c r="H159" s="661"/>
      <c r="I159" s="662"/>
      <c r="J159" s="662"/>
      <c r="K159" s="662"/>
      <c r="L159" s="663" t="str">
        <f>Дані!D12</f>
        <v>сідоров</v>
      </c>
      <c r="M159" s="663"/>
      <c r="N159" s="663"/>
      <c r="O159" s="141"/>
    </row>
  </sheetData>
  <sheetProtection sheet="1" objects="1" scenarios="1" formatCells="0" selectLockedCells="1"/>
  <mergeCells count="47">
    <mergeCell ref="T71:T72"/>
    <mergeCell ref="T74:T75"/>
    <mergeCell ref="A157:H157"/>
    <mergeCell ref="K157:R157"/>
    <mergeCell ref="K82:S82"/>
    <mergeCell ref="T85:T86"/>
    <mergeCell ref="T91:T92"/>
    <mergeCell ref="T94:T95"/>
    <mergeCell ref="T105:T106"/>
    <mergeCell ref="T111:T112"/>
    <mergeCell ref="T45:T46"/>
    <mergeCell ref="T51:T52"/>
    <mergeCell ref="T54:T55"/>
    <mergeCell ref="T65:T66"/>
    <mergeCell ref="T25:T26"/>
    <mergeCell ref="T31:T32"/>
    <mergeCell ref="T34:T35"/>
    <mergeCell ref="T15:T16"/>
    <mergeCell ref="F159:H159"/>
    <mergeCell ref="I159:K159"/>
    <mergeCell ref="A42:I42"/>
    <mergeCell ref="K42:S42"/>
    <mergeCell ref="A62:I62"/>
    <mergeCell ref="K62:S62"/>
    <mergeCell ref="A82:I82"/>
    <mergeCell ref="L159:N159"/>
    <mergeCell ref="A102:I102"/>
    <mergeCell ref="K102:S102"/>
    <mergeCell ref="T12:T13"/>
    <mergeCell ref="G2:I2"/>
    <mergeCell ref="J2:K2"/>
    <mergeCell ref="A22:I22"/>
    <mergeCell ref="K22:S22"/>
    <mergeCell ref="A3:I3"/>
    <mergeCell ref="K3:S3"/>
    <mergeCell ref="T6:T7"/>
    <mergeCell ref="A142:I142"/>
    <mergeCell ref="K142:S142"/>
    <mergeCell ref="T114:T115"/>
    <mergeCell ref="A122:I122"/>
    <mergeCell ref="K122:S122"/>
    <mergeCell ref="T125:T126"/>
    <mergeCell ref="T145:T146"/>
    <mergeCell ref="T151:T152"/>
    <mergeCell ref="T154:T155"/>
    <mergeCell ref="T131:T132"/>
    <mergeCell ref="T134:T135"/>
  </mergeCells>
  <printOptions/>
  <pageMargins left="0.3937007874015748" right="0.1968503937007874" top="0.5905511811023623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">
    <tabColor indexed="10"/>
  </sheetPr>
  <dimension ref="A1:AB31"/>
  <sheetViews>
    <sheetView zoomScale="75" zoomScaleNormal="75" workbookViewId="0" topLeftCell="A1">
      <selection activeCell="C21" sqref="C21"/>
    </sheetView>
  </sheetViews>
  <sheetFormatPr defaultColWidth="9.140625" defaultRowHeight="12.75"/>
  <cols>
    <col min="1" max="1" width="5.00390625" style="0" customWidth="1"/>
    <col min="2" max="2" width="15.7109375" style="0" customWidth="1"/>
    <col min="3" max="3" width="14.140625" style="0" customWidth="1"/>
    <col min="4" max="4" width="9.7109375" style="0" customWidth="1"/>
    <col min="5" max="5" width="4.7109375" style="0" customWidth="1"/>
    <col min="6" max="8" width="7.28125" style="0" customWidth="1"/>
    <col min="9" max="10" width="5.7109375" style="0" customWidth="1"/>
    <col min="11" max="15" width="7.28125" style="0" customWidth="1"/>
    <col min="16" max="17" width="7.7109375" style="0" customWidth="1"/>
    <col min="18" max="18" width="6.7109375" style="0" customWidth="1"/>
    <col min="19" max="21" width="7.28125" style="0" customWidth="1"/>
    <col min="22" max="22" width="6.7109375" style="0" customWidth="1"/>
    <col min="23" max="26" width="7.28125" style="0" customWidth="1"/>
  </cols>
  <sheetData>
    <row r="1" spans="1:26" ht="19.5" customHeight="1">
      <c r="A1" s="560" t="s">
        <v>285</v>
      </c>
      <c r="B1" s="560"/>
      <c r="C1" s="583" t="str">
        <f>Чорн!C1</f>
        <v>0441*****</v>
      </c>
      <c r="D1" s="583"/>
      <c r="E1" s="583"/>
      <c r="F1" s="583"/>
      <c r="G1" s="568" t="str">
        <f>Чорн!G1</f>
        <v>Розрахунково-платіжна відомість № </v>
      </c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395">
        <f>Чорн!R1</f>
        <v>3</v>
      </c>
      <c r="S1" s="394">
        <f>Чорн!S1</f>
        <v>0</v>
      </c>
      <c r="T1" s="27"/>
      <c r="U1" s="27"/>
      <c r="V1" s="220"/>
      <c r="W1" s="563"/>
      <c r="X1" s="563"/>
      <c r="Y1" s="564"/>
      <c r="Z1" s="23"/>
    </row>
    <row r="2" spans="1:26" s="6" customFormat="1" ht="19.5" customHeight="1">
      <c r="A2" s="560" t="s">
        <v>283</v>
      </c>
      <c r="B2" s="560"/>
      <c r="C2" s="664" t="str">
        <f>Чорн!C2</f>
        <v> сільська  рада</v>
      </c>
      <c r="D2" s="664"/>
      <c r="E2" s="664"/>
      <c r="F2" s="664"/>
      <c r="G2" s="502" t="str">
        <f>Чорн!G2</f>
        <v>нарахування заробітної плати  працівникам Енецької сільської ради</v>
      </c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234"/>
      <c r="W2" s="234"/>
      <c r="X2" s="234"/>
      <c r="Y2" s="234"/>
      <c r="Z2" s="234"/>
    </row>
    <row r="3" spans="1:26" ht="19.5" customHeight="1">
      <c r="A3" s="502" t="s">
        <v>286</v>
      </c>
      <c r="B3" s="502"/>
      <c r="C3" s="664" t="str">
        <f>Чорн!C3</f>
        <v>010116</v>
      </c>
      <c r="D3" s="664"/>
      <c r="E3" s="664"/>
      <c r="F3" s="664"/>
      <c r="G3" s="23"/>
      <c r="H3" s="23"/>
      <c r="I3" s="23"/>
      <c r="J3" s="29"/>
      <c r="K3" s="29"/>
      <c r="L3" s="30" t="str">
        <f>Чорн!L3</f>
        <v>за</v>
      </c>
      <c r="M3" s="513" t="str">
        <f>Чорн!M3</f>
        <v>березень</v>
      </c>
      <c r="N3" s="513"/>
      <c r="O3" s="513"/>
      <c r="P3" s="31">
        <f>Чорн!P3</f>
        <v>2013</v>
      </c>
      <c r="Q3" s="31" t="s">
        <v>37</v>
      </c>
      <c r="R3" s="31"/>
      <c r="S3" s="32"/>
      <c r="T3" s="32"/>
      <c r="U3" s="516"/>
      <c r="V3" s="516"/>
      <c r="W3" s="516"/>
      <c r="X3" s="516"/>
      <c r="Y3" s="516"/>
      <c r="Z3" s="33"/>
    </row>
    <row r="4" spans="1:26" ht="9.75" customHeight="1">
      <c r="A4" s="291"/>
      <c r="B4" s="291"/>
      <c r="C4" s="295"/>
      <c r="D4" s="295"/>
      <c r="E4" s="295"/>
      <c r="F4" s="295"/>
      <c r="G4" s="23"/>
      <c r="H4" s="23"/>
      <c r="I4" s="23"/>
      <c r="J4" s="29"/>
      <c r="K4" s="29"/>
      <c r="L4" s="30"/>
      <c r="M4" s="292"/>
      <c r="N4" s="292"/>
      <c r="O4" s="292"/>
      <c r="P4" s="31"/>
      <c r="Q4" s="31"/>
      <c r="R4" s="31"/>
      <c r="S4" s="32"/>
      <c r="T4" s="32"/>
      <c r="U4" s="199"/>
      <c r="V4" s="199"/>
      <c r="W4" s="199"/>
      <c r="X4" s="199"/>
      <c r="Y4" s="199"/>
      <c r="Z4" s="33"/>
    </row>
    <row r="5" spans="1:26" ht="19.5" customHeight="1">
      <c r="A5" s="665" t="s">
        <v>38</v>
      </c>
      <c r="B5" s="665"/>
      <c r="C5" s="665"/>
      <c r="D5" s="243">
        <f>Чорн!D4</f>
        <v>20</v>
      </c>
      <c r="E5" s="32"/>
      <c r="F5" s="588"/>
      <c r="G5" s="588"/>
      <c r="H5" s="588"/>
      <c r="I5" s="588"/>
      <c r="J5" s="588"/>
      <c r="K5" s="255"/>
      <c r="L5" s="32"/>
      <c r="M5" s="588"/>
      <c r="N5" s="588"/>
      <c r="O5" s="588"/>
      <c r="P5" s="255"/>
      <c r="Q5" s="206"/>
      <c r="R5" s="589"/>
      <c r="S5" s="589"/>
      <c r="T5" s="589"/>
      <c r="U5" s="589"/>
      <c r="V5" s="597"/>
      <c r="W5" s="597"/>
      <c r="X5" s="255"/>
      <c r="Y5" s="199"/>
      <c r="Z5" s="207"/>
    </row>
    <row r="6" spans="1:26" ht="19.5" customHeight="1">
      <c r="A6" s="328"/>
      <c r="B6" s="328"/>
      <c r="C6" s="328"/>
      <c r="D6" s="243"/>
      <c r="E6" s="32"/>
      <c r="F6" s="293"/>
      <c r="G6" s="293"/>
      <c r="H6" s="293"/>
      <c r="I6" s="293"/>
      <c r="J6" s="293"/>
      <c r="K6" s="255"/>
      <c r="L6" s="32"/>
      <c r="M6" s="293"/>
      <c r="N6" s="293"/>
      <c r="O6" s="293"/>
      <c r="P6" s="255"/>
      <c r="Q6" s="206"/>
      <c r="R6" s="294"/>
      <c r="S6" s="294"/>
      <c r="T6" s="294"/>
      <c r="U6" s="294"/>
      <c r="V6" s="255"/>
      <c r="W6" s="255"/>
      <c r="X6" s="255"/>
      <c r="Y6" s="199"/>
      <c r="Z6" s="207"/>
    </row>
    <row r="7" spans="1:28" s="21" customFormat="1" ht="19.5" customHeight="1">
      <c r="A7" s="678" t="str">
        <f>Чорн!A5</f>
        <v>№ п/п </v>
      </c>
      <c r="B7" s="666" t="str">
        <f>Чорн!B5</f>
        <v>Посада</v>
      </c>
      <c r="C7" s="666" t="str">
        <f>Чорн!C5</f>
        <v>П. І. Б.</v>
      </c>
      <c r="D7" s="666" t="s">
        <v>312</v>
      </c>
      <c r="E7" s="669" t="str">
        <f>Чорн!D5</f>
        <v>к-ть відпр. днів</v>
      </c>
      <c r="F7" s="674" t="str">
        <f>Чорн!E5</f>
        <v>Нараховано</v>
      </c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3" t="str">
        <f>Чорн!Q5</f>
        <v>всього</v>
      </c>
      <c r="S7" s="680" t="str">
        <f>Чорн!R5</f>
        <v>Утримано</v>
      </c>
      <c r="T7" s="680"/>
      <c r="U7" s="680"/>
      <c r="V7" s="680"/>
      <c r="W7" s="680"/>
      <c r="X7" s="680"/>
      <c r="Y7" s="680"/>
      <c r="Z7" s="680"/>
      <c r="AA7" s="670" t="str">
        <f>Чорн!Z5</f>
        <v>Сума   до перерах- ня</v>
      </c>
      <c r="AB7" s="22"/>
    </row>
    <row r="8" spans="1:28" s="21" customFormat="1" ht="21" customHeight="1">
      <c r="A8" s="678"/>
      <c r="B8" s="666"/>
      <c r="C8" s="666"/>
      <c r="D8" s="666"/>
      <c r="E8" s="669"/>
      <c r="F8" s="668" t="str">
        <f>Чорн!E6</f>
        <v>посадовий оклад</v>
      </c>
      <c r="G8" s="668" t="str">
        <f>Чорн!F6</f>
        <v>доплата за ранг</v>
      </c>
      <c r="H8" s="668" t="str">
        <f>Чорн!G6</f>
        <v>надбавка за вислугу років </v>
      </c>
      <c r="I8" s="668">
        <f>Чорн!H6</f>
        <v>0</v>
      </c>
      <c r="J8" s="676" t="str">
        <f>Чорн!I6</f>
        <v>лист непрацезд.</v>
      </c>
      <c r="K8" s="677"/>
      <c r="L8" s="668" t="str">
        <f>Чорн!K6</f>
        <v>відпускні</v>
      </c>
      <c r="M8" s="668" t="str">
        <f>Чорн!L6</f>
        <v>індексація за      03 місяць</v>
      </c>
      <c r="N8" s="668" t="str">
        <f>Чорн!M6</f>
        <v>допомога на оздоровлення</v>
      </c>
      <c r="O8" s="668" t="str">
        <f>Чорн!N6</f>
        <v>мат. допомога на вирішення соц питань</v>
      </c>
      <c r="P8" s="668" t="str">
        <f>Чорн!O6</f>
        <v>премія      за  02    місяць</v>
      </c>
      <c r="Q8" s="668">
        <f>Чорн!P6</f>
        <v>0</v>
      </c>
      <c r="R8" s="673"/>
      <c r="S8" s="668" t="str">
        <f>Чорн!R6</f>
        <v>за 1 половину місяця</v>
      </c>
      <c r="T8" s="668" t="str">
        <f>Чорн!S6</f>
        <v>прибутковий            податок</v>
      </c>
      <c r="U8" s="668" t="str">
        <f>Чорн!T6</f>
        <v>ЄСВ 6,1%</v>
      </c>
      <c r="V8" s="668" t="str">
        <f>Чорн!U6</f>
        <v>ЄСВ 3,6%</v>
      </c>
      <c r="W8" s="668" t="str">
        <f>Чорн!V6</f>
        <v>ЄСВ 2,0%</v>
      </c>
      <c r="X8" s="668" t="str">
        <f>Чорн!W6</f>
        <v>профвнески</v>
      </c>
      <c r="Y8" s="668">
        <f>Чорн!X6</f>
        <v>0</v>
      </c>
      <c r="Z8" s="668" t="str">
        <f>Чорн!Y6</f>
        <v>всього утримано</v>
      </c>
      <c r="AA8" s="671"/>
      <c r="AB8" s="22"/>
    </row>
    <row r="9" spans="1:27" ht="45.75" customHeight="1">
      <c r="A9" s="679"/>
      <c r="B9" s="667"/>
      <c r="C9" s="667"/>
      <c r="D9" s="667"/>
      <c r="E9" s="669"/>
      <c r="F9" s="668"/>
      <c r="G9" s="668"/>
      <c r="H9" s="668"/>
      <c r="I9" s="668"/>
      <c r="J9" s="315" t="str">
        <f>Чорн!I7</f>
        <v>підприємство</v>
      </c>
      <c r="K9" s="315" t="str">
        <f>Чорн!J7</f>
        <v>фонд</v>
      </c>
      <c r="L9" s="668"/>
      <c r="M9" s="668"/>
      <c r="N9" s="668"/>
      <c r="O9" s="668"/>
      <c r="P9" s="668"/>
      <c r="Q9" s="668"/>
      <c r="R9" s="673"/>
      <c r="S9" s="668"/>
      <c r="T9" s="668"/>
      <c r="U9" s="668"/>
      <c r="V9" s="668"/>
      <c r="W9" s="668"/>
      <c r="X9" s="668"/>
      <c r="Y9" s="668"/>
      <c r="Z9" s="668"/>
      <c r="AA9" s="672"/>
    </row>
    <row r="10" spans="1:27" ht="19.5" customHeight="1">
      <c r="A10" s="35">
        <v>1</v>
      </c>
      <c r="B10" s="311">
        <f>Чорн!B8</f>
        <v>0</v>
      </c>
      <c r="C10" s="311">
        <f>Чорн!C8</f>
        <v>0</v>
      </c>
      <c r="D10" s="330">
        <f>IF(Чорн!$C$3=Дані!$A$4,Дані!B26,Дані!B41)</f>
        <v>0</v>
      </c>
      <c r="E10" s="312">
        <f>Чорн!D8</f>
        <v>20</v>
      </c>
      <c r="F10" s="310">
        <f>Чорн!E8</f>
        <v>2328</v>
      </c>
      <c r="G10" s="310">
        <f>Чорн!F8</f>
        <v>90</v>
      </c>
      <c r="H10" s="310">
        <f>Чорн!G8</f>
        <v>0</v>
      </c>
      <c r="I10" s="310">
        <f>Чорн!H8</f>
        <v>0</v>
      </c>
      <c r="J10" s="310">
        <f>Чорн!I8</f>
        <v>0</v>
      </c>
      <c r="K10" s="310">
        <f>Чорн!J8</f>
        <v>0</v>
      </c>
      <c r="L10" s="310">
        <f>Чорн!K8</f>
        <v>0</v>
      </c>
      <c r="M10" s="310">
        <f>Чорн!L8</f>
        <v>68</v>
      </c>
      <c r="N10" s="310">
        <f>Чорн!M8</f>
        <v>0</v>
      </c>
      <c r="O10" s="310">
        <f>Чорн!N8</f>
        <v>0</v>
      </c>
      <c r="P10" s="310">
        <f>Чорн!O8</f>
        <v>0</v>
      </c>
      <c r="Q10" s="310">
        <f>Чорн!P8</f>
        <v>0</v>
      </c>
      <c r="R10" s="310">
        <f aca="true" t="shared" si="0" ref="R10:R15">SUM(F10:Q10)</f>
        <v>2486</v>
      </c>
      <c r="S10" s="310">
        <f>Чорн!R8</f>
        <v>0</v>
      </c>
      <c r="T10" s="310">
        <f>Чорн!S8</f>
        <v>350.15</v>
      </c>
      <c r="U10" s="310">
        <f>Чорн!T8</f>
        <v>151.65</v>
      </c>
      <c r="V10" s="310">
        <f>Чорн!U8</f>
        <v>0</v>
      </c>
      <c r="W10" s="310">
        <f>Чорн!V8</f>
        <v>0</v>
      </c>
      <c r="X10" s="310">
        <f>Чорн!W8</f>
        <v>24.86</v>
      </c>
      <c r="Y10" s="310">
        <f>Чорн!X8</f>
        <v>0</v>
      </c>
      <c r="Z10" s="310">
        <f>Чорн!Y8</f>
        <v>526.66</v>
      </c>
      <c r="AA10" s="314">
        <f aca="true" t="shared" si="1" ref="AA10:AA15">R10-Z10</f>
        <v>1959.3400000000001</v>
      </c>
    </row>
    <row r="11" spans="1:27" ht="19.5" customHeight="1">
      <c r="A11" s="35">
        <v>2</v>
      </c>
      <c r="B11" s="311">
        <f>Чорн!B9</f>
        <v>0</v>
      </c>
      <c r="C11" s="311">
        <f>Чорн!C9</f>
        <v>0</v>
      </c>
      <c r="D11" s="330">
        <f>IF(Чорн!$C$3=Дані!$A$4,Дані!B27,Дані!B42)</f>
        <v>0</v>
      </c>
      <c r="E11" s="312">
        <f>Чорн!D9</f>
        <v>0</v>
      </c>
      <c r="F11" s="310">
        <f>Чорн!E9</f>
        <v>0</v>
      </c>
      <c r="G11" s="310">
        <f>Чорн!F9</f>
        <v>0</v>
      </c>
      <c r="H11" s="310">
        <f>Чорн!G9</f>
        <v>0</v>
      </c>
      <c r="I11" s="310">
        <f>Чорн!H9</f>
        <v>0</v>
      </c>
      <c r="J11" s="310">
        <f>Чорн!I9</f>
        <v>0</v>
      </c>
      <c r="K11" s="310">
        <f>Чорн!J9</f>
        <v>0</v>
      </c>
      <c r="L11" s="310">
        <f>Чорн!K9</f>
        <v>0</v>
      </c>
      <c r="M11" s="310">
        <f>Чорн!L9</f>
        <v>119.71</v>
      </c>
      <c r="N11" s="310">
        <f>Чорн!M9</f>
        <v>0</v>
      </c>
      <c r="O11" s="310">
        <f>Чорн!N9</f>
        <v>0</v>
      </c>
      <c r="P11" s="310">
        <f>Чорн!O9</f>
        <v>0</v>
      </c>
      <c r="Q11" s="310">
        <f>Чорн!P9</f>
        <v>0</v>
      </c>
      <c r="R11" s="310">
        <f t="shared" si="0"/>
        <v>119.71</v>
      </c>
      <c r="S11" s="310">
        <f>Чорн!R9</f>
        <v>0</v>
      </c>
      <c r="T11" s="310">
        <f>Чорн!S9</f>
        <v>0</v>
      </c>
      <c r="U11" s="310">
        <f>Чорн!T9</f>
        <v>7.3</v>
      </c>
      <c r="V11" s="310">
        <f>Чорн!U9</f>
        <v>0</v>
      </c>
      <c r="W11" s="310">
        <f>Чорн!V9</f>
        <v>0</v>
      </c>
      <c r="X11" s="310">
        <f>Чорн!W9</f>
        <v>1.2</v>
      </c>
      <c r="Y11" s="310">
        <f>Чорн!X9</f>
        <v>0</v>
      </c>
      <c r="Z11" s="310">
        <f>Чорн!Y9</f>
        <v>8.5</v>
      </c>
      <c r="AA11" s="314">
        <f t="shared" si="1"/>
        <v>111.21</v>
      </c>
    </row>
    <row r="12" spans="1:27" ht="19.5" customHeight="1">
      <c r="A12" s="35">
        <v>3</v>
      </c>
      <c r="B12" s="311">
        <f>Чорн!B10</f>
        <v>0</v>
      </c>
      <c r="C12" s="311">
        <f>Чорн!C10</f>
        <v>0</v>
      </c>
      <c r="D12" s="330">
        <f>IF(Чорн!$C$3=Дані!$A$4,Дані!B28,Дані!B43)</f>
        <v>0</v>
      </c>
      <c r="E12" s="312">
        <f>Чорн!D10</f>
        <v>0</v>
      </c>
      <c r="F12" s="310">
        <f>Чорн!E10</f>
        <v>0</v>
      </c>
      <c r="G12" s="310">
        <f>Чорн!F10</f>
        <v>0</v>
      </c>
      <c r="H12" s="310">
        <f>Чорн!G10</f>
        <v>0</v>
      </c>
      <c r="I12" s="310">
        <f>Чорн!H10</f>
        <v>0</v>
      </c>
      <c r="J12" s="310">
        <f>Чорн!I10</f>
        <v>0</v>
      </c>
      <c r="K12" s="310">
        <f>Чорн!J10</f>
        <v>0</v>
      </c>
      <c r="L12" s="310">
        <f>Чорн!K10</f>
        <v>0</v>
      </c>
      <c r="M12" s="310">
        <f>Чорн!L10</f>
        <v>575.79</v>
      </c>
      <c r="N12" s="310">
        <f>Чорн!M10</f>
        <v>0</v>
      </c>
      <c r="O12" s="310">
        <f>Чорн!N10</f>
        <v>0</v>
      </c>
      <c r="P12" s="310">
        <f>Чорн!O10</f>
        <v>650</v>
      </c>
      <c r="Q12" s="310">
        <f>Чорн!P10</f>
        <v>0</v>
      </c>
      <c r="R12" s="310">
        <f t="shared" si="0"/>
        <v>1225.79</v>
      </c>
      <c r="S12" s="310">
        <f>Чорн!R10</f>
        <v>0</v>
      </c>
      <c r="T12" s="310">
        <f>Чорн!S10</f>
        <v>0</v>
      </c>
      <c r="U12" s="310">
        <f>Чорн!T10</f>
        <v>74.77</v>
      </c>
      <c r="V12" s="310">
        <f>Чорн!U10</f>
        <v>0</v>
      </c>
      <c r="W12" s="310">
        <f>Чорн!V10</f>
        <v>0</v>
      </c>
      <c r="X12" s="310">
        <f>Чорн!W10</f>
        <v>12.26</v>
      </c>
      <c r="Y12" s="310">
        <f>Чорн!X10</f>
        <v>0</v>
      </c>
      <c r="Z12" s="310">
        <f>Чорн!Y10</f>
        <v>87.03</v>
      </c>
      <c r="AA12" s="314">
        <f t="shared" si="1"/>
        <v>1138.76</v>
      </c>
    </row>
    <row r="13" spans="1:28" ht="19.5" customHeight="1">
      <c r="A13" s="35">
        <v>4</v>
      </c>
      <c r="B13" s="311">
        <f>Чорн!B11</f>
        <v>0</v>
      </c>
      <c r="C13" s="311">
        <f>Чорн!C11</f>
        <v>0</v>
      </c>
      <c r="D13" s="330">
        <f>IF(Чорн!$C$3=Дані!$A$4,Дані!B29,Дані!B49)</f>
        <v>0</v>
      </c>
      <c r="E13" s="312">
        <f>Чорн!D11</f>
        <v>0</v>
      </c>
      <c r="F13" s="310">
        <f>Чорн!E11</f>
        <v>0</v>
      </c>
      <c r="G13" s="310">
        <f>Чорн!F11</f>
        <v>0</v>
      </c>
      <c r="H13" s="310">
        <f>Чорн!G11</f>
        <v>0</v>
      </c>
      <c r="I13" s="310">
        <f>Чорн!H11</f>
        <v>0</v>
      </c>
      <c r="J13" s="310">
        <f>Чорн!I11</f>
        <v>0</v>
      </c>
      <c r="K13" s="310">
        <f>Чорн!J11</f>
        <v>0</v>
      </c>
      <c r="L13" s="310">
        <f>Чорн!K11</f>
        <v>0</v>
      </c>
      <c r="M13" s="310">
        <f>Чорн!L11</f>
        <v>0</v>
      </c>
      <c r="N13" s="310">
        <f>Чорн!M11</f>
        <v>0</v>
      </c>
      <c r="O13" s="310">
        <f>Чорн!N11</f>
        <v>0</v>
      </c>
      <c r="P13" s="310">
        <f>Чорн!O11</f>
        <v>0</v>
      </c>
      <c r="Q13" s="310">
        <f>Чорн!P11</f>
        <v>0</v>
      </c>
      <c r="R13" s="310">
        <f t="shared" si="0"/>
        <v>0</v>
      </c>
      <c r="S13" s="310">
        <f>Чорн!R11</f>
        <v>0</v>
      </c>
      <c r="T13" s="310">
        <f>Чорн!S11</f>
        <v>0</v>
      </c>
      <c r="U13" s="310">
        <f>Чорн!T11</f>
        <v>0</v>
      </c>
      <c r="V13" s="310">
        <f>Чорн!U11</f>
        <v>0</v>
      </c>
      <c r="W13" s="310">
        <f>Чорн!V11</f>
        <v>0</v>
      </c>
      <c r="X13" s="310">
        <f>Чорн!W11</f>
        <v>0</v>
      </c>
      <c r="Y13" s="310">
        <f>Чорн!X11</f>
        <v>0</v>
      </c>
      <c r="Z13" s="310">
        <f>Чорн!Y11</f>
        <v>0</v>
      </c>
      <c r="AA13" s="314">
        <f t="shared" si="1"/>
        <v>0</v>
      </c>
      <c r="AB13" s="19"/>
    </row>
    <row r="14" spans="1:28" ht="19.5" customHeight="1">
      <c r="A14" s="35">
        <v>5</v>
      </c>
      <c r="B14" s="311">
        <f>Чорн!B12</f>
        <v>0</v>
      </c>
      <c r="C14" s="311">
        <f>Чорн!C12</f>
        <v>0</v>
      </c>
      <c r="D14" s="330">
        <f>IF(Чорн!$C$3=Дані!$A$4,Дані!B30,Дані!B55)</f>
        <v>0</v>
      </c>
      <c r="E14" s="312">
        <f>Чорн!D12</f>
        <v>0</v>
      </c>
      <c r="F14" s="310">
        <f>Чорн!E12</f>
        <v>0</v>
      </c>
      <c r="G14" s="310">
        <f>Чорн!F12</f>
        <v>0</v>
      </c>
      <c r="H14" s="310">
        <f>Чорн!G12</f>
        <v>0</v>
      </c>
      <c r="I14" s="310">
        <f>Чорн!H12</f>
        <v>0</v>
      </c>
      <c r="J14" s="310">
        <f>Чорн!I12</f>
        <v>0</v>
      </c>
      <c r="K14" s="310">
        <f>Чорн!J12</f>
        <v>0</v>
      </c>
      <c r="L14" s="310">
        <f>Чорн!K12</f>
        <v>0</v>
      </c>
      <c r="M14" s="310">
        <f>Чорн!L12</f>
        <v>0</v>
      </c>
      <c r="N14" s="310">
        <f>Чорн!M12</f>
        <v>0</v>
      </c>
      <c r="O14" s="310">
        <f>Чорн!N12</f>
        <v>0</v>
      </c>
      <c r="P14" s="310">
        <f>Чорн!O12</f>
        <v>0</v>
      </c>
      <c r="Q14" s="310">
        <f>Чорн!P12</f>
        <v>0</v>
      </c>
      <c r="R14" s="310">
        <f t="shared" si="0"/>
        <v>0</v>
      </c>
      <c r="S14" s="310">
        <f>Чорн!R12</f>
        <v>0</v>
      </c>
      <c r="T14" s="310">
        <f>Чорн!S12</f>
        <v>0</v>
      </c>
      <c r="U14" s="310">
        <f>Чорн!T12</f>
        <v>0</v>
      </c>
      <c r="V14" s="310">
        <f>Чорн!U12</f>
        <v>0</v>
      </c>
      <c r="W14" s="310">
        <f>Чорн!V12</f>
        <v>0</v>
      </c>
      <c r="X14" s="310">
        <f>Чорн!W12</f>
        <v>0</v>
      </c>
      <c r="Y14" s="310">
        <f>Чорн!X12</f>
        <v>0</v>
      </c>
      <c r="Z14" s="310">
        <f>Чорн!Y12</f>
        <v>0</v>
      </c>
      <c r="AA14" s="314">
        <f t="shared" si="1"/>
        <v>0</v>
      </c>
      <c r="AB14" s="19"/>
    </row>
    <row r="15" spans="1:28" ht="19.5" customHeight="1">
      <c r="A15" s="35">
        <v>6</v>
      </c>
      <c r="B15" s="311">
        <f>Чорн!B13</f>
        <v>0</v>
      </c>
      <c r="C15" s="311">
        <f>Чорн!C13</f>
        <v>0</v>
      </c>
      <c r="D15" s="330">
        <f>IF(Чорн!$C$3=Дані!$A$4,Дані!B31,Дані!B56)</f>
        <v>0</v>
      </c>
      <c r="E15" s="312">
        <f>Чорн!D13</f>
        <v>0</v>
      </c>
      <c r="F15" s="310">
        <f>Чорн!E13</f>
        <v>0</v>
      </c>
      <c r="G15" s="310">
        <f>Чорн!F13</f>
        <v>0</v>
      </c>
      <c r="H15" s="310">
        <f>Чорн!G13</f>
        <v>0</v>
      </c>
      <c r="I15" s="310">
        <f>Чорн!H13</f>
        <v>0</v>
      </c>
      <c r="J15" s="310">
        <f>Чорн!I13</f>
        <v>0</v>
      </c>
      <c r="K15" s="310">
        <f>Чорн!J13</f>
        <v>0</v>
      </c>
      <c r="L15" s="310">
        <f>Чорн!K13</f>
        <v>0</v>
      </c>
      <c r="M15" s="310">
        <f>Чорн!L13</f>
        <v>0</v>
      </c>
      <c r="N15" s="310">
        <f>Чорн!M13</f>
        <v>0</v>
      </c>
      <c r="O15" s="310">
        <f>Чорн!N13</f>
        <v>0</v>
      </c>
      <c r="P15" s="310">
        <f>Чорн!O13</f>
        <v>0</v>
      </c>
      <c r="Q15" s="310">
        <f>Чорн!P13</f>
        <v>0</v>
      </c>
      <c r="R15" s="310">
        <f t="shared" si="0"/>
        <v>0</v>
      </c>
      <c r="S15" s="310">
        <f>Чорн!R13</f>
        <v>0</v>
      </c>
      <c r="T15" s="310">
        <f>Чорн!S13</f>
        <v>0</v>
      </c>
      <c r="U15" s="310">
        <f>Чорн!T13</f>
        <v>0</v>
      </c>
      <c r="V15" s="310">
        <f>Чорн!U13</f>
        <v>0</v>
      </c>
      <c r="W15" s="310">
        <f>Чорн!V13</f>
        <v>0</v>
      </c>
      <c r="X15" s="310">
        <f>Чорн!W13</f>
        <v>0</v>
      </c>
      <c r="Y15" s="310">
        <f>Чорн!X13</f>
        <v>0</v>
      </c>
      <c r="Z15" s="310">
        <f>Чорн!Y13</f>
        <v>0</v>
      </c>
      <c r="AA15" s="314">
        <f t="shared" si="1"/>
        <v>0</v>
      </c>
      <c r="AB15" s="19"/>
    </row>
    <row r="16" spans="1:28" ht="19.5" customHeight="1">
      <c r="A16" s="35">
        <v>7</v>
      </c>
      <c r="B16" s="311">
        <f>Чорн!B14</f>
        <v>0</v>
      </c>
      <c r="C16" s="311">
        <f>Чорн!C14</f>
        <v>0</v>
      </c>
      <c r="D16" s="330">
        <f>IF(Чорн!$C$3=Дані!$A$4,Дані!B32,Дані!B57)</f>
        <v>0</v>
      </c>
      <c r="E16" s="312">
        <f>Чорн!D14</f>
        <v>0</v>
      </c>
      <c r="F16" s="310">
        <f>Чорн!E14</f>
        <v>0</v>
      </c>
      <c r="G16" s="310">
        <f>Чорн!F14</f>
        <v>0</v>
      </c>
      <c r="H16" s="310">
        <f>Чорн!G14</f>
        <v>0</v>
      </c>
      <c r="I16" s="310">
        <f>Чорн!H14</f>
        <v>0</v>
      </c>
      <c r="J16" s="310">
        <f>Чорн!I14</f>
        <v>0</v>
      </c>
      <c r="K16" s="310">
        <f>Чорн!J14</f>
        <v>0</v>
      </c>
      <c r="L16" s="310">
        <f>Чорн!K14</f>
        <v>0</v>
      </c>
      <c r="M16" s="310">
        <f>Чорн!L14</f>
        <v>0</v>
      </c>
      <c r="N16" s="310">
        <f>Чорн!M14</f>
        <v>0</v>
      </c>
      <c r="O16" s="310">
        <f>Чорн!N14</f>
        <v>0</v>
      </c>
      <c r="P16" s="310">
        <f>Чорн!O14</f>
        <v>0</v>
      </c>
      <c r="Q16" s="310">
        <f>Чорн!P14</f>
        <v>0</v>
      </c>
      <c r="R16" s="310">
        <f aca="true" t="shared" si="2" ref="R16:R24">SUM(F16:Q16)</f>
        <v>0</v>
      </c>
      <c r="S16" s="310">
        <f>Чорн!R14</f>
        <v>0</v>
      </c>
      <c r="T16" s="310">
        <f>Чорн!S14</f>
        <v>0</v>
      </c>
      <c r="U16" s="310">
        <f>Чорн!T14</f>
        <v>0</v>
      </c>
      <c r="V16" s="310">
        <f>Чорн!U14</f>
        <v>0</v>
      </c>
      <c r="W16" s="310">
        <f>Чорн!V14</f>
        <v>0</v>
      </c>
      <c r="X16" s="310">
        <f>Чорн!W14</f>
        <v>0</v>
      </c>
      <c r="Y16" s="310">
        <f>Чорн!X14</f>
        <v>0</v>
      </c>
      <c r="Z16" s="310">
        <f>Чорн!Y14</f>
        <v>0</v>
      </c>
      <c r="AA16" s="314">
        <f aca="true" t="shared" si="3" ref="AA16:AA24">R16-Z16</f>
        <v>0</v>
      </c>
      <c r="AB16" s="19"/>
    </row>
    <row r="17" spans="1:28" ht="19.5" customHeight="1">
      <c r="A17" s="35">
        <v>8</v>
      </c>
      <c r="B17" s="311">
        <f>Чорн!B15</f>
        <v>0</v>
      </c>
      <c r="C17" s="311">
        <f>Чорн!C15</f>
        <v>0</v>
      </c>
      <c r="D17" s="330">
        <f>IF(Чорн!$C$3=Дані!$A$4,Дані!B33,Дані!B58)</f>
        <v>0</v>
      </c>
      <c r="E17" s="312">
        <f>Чорн!D15</f>
        <v>0</v>
      </c>
      <c r="F17" s="310">
        <f>Чорн!E15</f>
        <v>0</v>
      </c>
      <c r="G17" s="310">
        <f>Чорн!F15</f>
        <v>0</v>
      </c>
      <c r="H17" s="310">
        <f>Чорн!G15</f>
        <v>0</v>
      </c>
      <c r="I17" s="310">
        <f>Чорн!H15</f>
        <v>0</v>
      </c>
      <c r="J17" s="310">
        <f>Чорн!I15</f>
        <v>0</v>
      </c>
      <c r="K17" s="310">
        <f>Чорн!J15</f>
        <v>0</v>
      </c>
      <c r="L17" s="310">
        <f>Чорн!K15</f>
        <v>0</v>
      </c>
      <c r="M17" s="310">
        <f>Чорн!L15</f>
        <v>0</v>
      </c>
      <c r="N17" s="310">
        <f>Чорн!M15</f>
        <v>0</v>
      </c>
      <c r="O17" s="310">
        <f>Чорн!N15</f>
        <v>0</v>
      </c>
      <c r="P17" s="310">
        <f>Чорн!O15</f>
        <v>0</v>
      </c>
      <c r="Q17" s="310">
        <f>Чорн!P15</f>
        <v>0</v>
      </c>
      <c r="R17" s="310">
        <f t="shared" si="2"/>
        <v>0</v>
      </c>
      <c r="S17" s="310">
        <f>Чорн!R15</f>
        <v>0</v>
      </c>
      <c r="T17" s="310">
        <f>Чорн!S15</f>
        <v>0</v>
      </c>
      <c r="U17" s="310">
        <f>Чорн!T15</f>
        <v>0</v>
      </c>
      <c r="V17" s="310">
        <f>Чорн!U15</f>
        <v>0</v>
      </c>
      <c r="W17" s="310">
        <f>Чорн!V15</f>
        <v>0</v>
      </c>
      <c r="X17" s="310">
        <f>Чорн!W15</f>
        <v>0</v>
      </c>
      <c r="Y17" s="310">
        <f>Чорн!X15</f>
        <v>0</v>
      </c>
      <c r="Z17" s="310">
        <f>Чорн!Y15</f>
        <v>0</v>
      </c>
      <c r="AA17" s="314">
        <f t="shared" si="3"/>
        <v>0</v>
      </c>
      <c r="AB17" s="19"/>
    </row>
    <row r="18" spans="1:28" ht="19.5" customHeight="1">
      <c r="A18" s="35">
        <v>9</v>
      </c>
      <c r="B18" s="311">
        <f>Чорн!B16</f>
        <v>0</v>
      </c>
      <c r="C18" s="311">
        <f>Чорн!C16</f>
        <v>0</v>
      </c>
      <c r="D18" s="330">
        <f>IF(Чорн!$C$3=Дані!$A$4,Дані!B34,Дані!B59)</f>
        <v>0</v>
      </c>
      <c r="E18" s="312">
        <f>Чорн!D16</f>
        <v>0</v>
      </c>
      <c r="F18" s="310">
        <f>Чорн!E16</f>
        <v>0</v>
      </c>
      <c r="G18" s="310">
        <f>Чорн!F16</f>
        <v>0</v>
      </c>
      <c r="H18" s="310">
        <f>Чорн!G16</f>
        <v>0</v>
      </c>
      <c r="I18" s="310">
        <f>Чорн!H16</f>
        <v>0</v>
      </c>
      <c r="J18" s="310">
        <f>Чорн!I16</f>
        <v>0</v>
      </c>
      <c r="K18" s="310">
        <f>Чорн!J16</f>
        <v>0</v>
      </c>
      <c r="L18" s="310">
        <f>Чорн!K16</f>
        <v>0</v>
      </c>
      <c r="M18" s="310">
        <f>Чорн!L16</f>
        <v>0</v>
      </c>
      <c r="N18" s="310">
        <f>Чорн!M16</f>
        <v>0</v>
      </c>
      <c r="O18" s="310">
        <f>Чорн!N16</f>
        <v>0</v>
      </c>
      <c r="P18" s="310">
        <f>Чорн!O16</f>
        <v>0</v>
      </c>
      <c r="Q18" s="310">
        <f>Чорн!P16</f>
        <v>0</v>
      </c>
      <c r="R18" s="310">
        <f t="shared" si="2"/>
        <v>0</v>
      </c>
      <c r="S18" s="310">
        <f>Чорн!R16</f>
        <v>0</v>
      </c>
      <c r="T18" s="310">
        <f>Чорн!S16</f>
        <v>0</v>
      </c>
      <c r="U18" s="310">
        <f>Чорн!T16</f>
        <v>0</v>
      </c>
      <c r="V18" s="310">
        <f>Чорн!U16</f>
        <v>0</v>
      </c>
      <c r="W18" s="310">
        <f>Чорн!V16</f>
        <v>0</v>
      </c>
      <c r="X18" s="310">
        <f>Чорн!W16</f>
        <v>0</v>
      </c>
      <c r="Y18" s="310">
        <f>Чорн!X16</f>
        <v>0</v>
      </c>
      <c r="Z18" s="310">
        <f>Чорн!Y16</f>
        <v>0</v>
      </c>
      <c r="AA18" s="314">
        <f t="shared" si="3"/>
        <v>0</v>
      </c>
      <c r="AB18" s="19"/>
    </row>
    <row r="19" spans="1:28" ht="19.5" customHeight="1">
      <c r="A19" s="35">
        <v>10</v>
      </c>
      <c r="B19" s="311">
        <f>Чорн!B17</f>
        <v>0</v>
      </c>
      <c r="C19" s="311">
        <f>Чорн!C17</f>
        <v>0</v>
      </c>
      <c r="D19" s="330">
        <f>IF(Чорн!$C$3=Дані!$A$4,Дані!B35,Дані!B60)</f>
        <v>0</v>
      </c>
      <c r="E19" s="312">
        <f>Чорн!D17</f>
        <v>0</v>
      </c>
      <c r="F19" s="310">
        <f>Чорн!E17</f>
        <v>0</v>
      </c>
      <c r="G19" s="310">
        <f>Чорн!F17</f>
        <v>0</v>
      </c>
      <c r="H19" s="310">
        <f>Чорн!G17</f>
        <v>0</v>
      </c>
      <c r="I19" s="310">
        <f>Чорн!H17</f>
        <v>0</v>
      </c>
      <c r="J19" s="310">
        <f>Чорн!I17</f>
        <v>0</v>
      </c>
      <c r="K19" s="310">
        <f>Чорн!J17</f>
        <v>0</v>
      </c>
      <c r="L19" s="310">
        <f>Чорн!K17</f>
        <v>0</v>
      </c>
      <c r="M19" s="310">
        <f>Чорн!L17</f>
        <v>0</v>
      </c>
      <c r="N19" s="310">
        <f>Чорн!M17</f>
        <v>0</v>
      </c>
      <c r="O19" s="310">
        <f>Чорн!N17</f>
        <v>0</v>
      </c>
      <c r="P19" s="310">
        <f>Чорн!O17</f>
        <v>0</v>
      </c>
      <c r="Q19" s="310">
        <f>Чорн!P17</f>
        <v>0</v>
      </c>
      <c r="R19" s="310">
        <f t="shared" si="2"/>
        <v>0</v>
      </c>
      <c r="S19" s="310">
        <f>Чорн!R17</f>
        <v>0</v>
      </c>
      <c r="T19" s="310">
        <f>Чорн!S17</f>
        <v>0</v>
      </c>
      <c r="U19" s="310">
        <f>Чорн!T17</f>
        <v>0</v>
      </c>
      <c r="V19" s="310">
        <f>Чорн!U17</f>
        <v>0</v>
      </c>
      <c r="W19" s="310">
        <f>Чорн!V17</f>
        <v>0</v>
      </c>
      <c r="X19" s="310">
        <f>Чорн!W17</f>
        <v>0</v>
      </c>
      <c r="Y19" s="310">
        <f>Чорн!X17</f>
        <v>0</v>
      </c>
      <c r="Z19" s="310">
        <f>Чорн!Y17</f>
        <v>0</v>
      </c>
      <c r="AA19" s="314">
        <f t="shared" si="3"/>
        <v>0</v>
      </c>
      <c r="AB19" s="19"/>
    </row>
    <row r="20" spans="1:28" ht="19.5" customHeight="1">
      <c r="A20" s="35">
        <v>11</v>
      </c>
      <c r="B20" s="311">
        <f>Чорн!B18</f>
        <v>0</v>
      </c>
      <c r="C20" s="311">
        <f>Чорн!C18</f>
        <v>0</v>
      </c>
      <c r="D20" s="330">
        <f>IF(Чорн!$C$3=Дані!$A$4,Дані!B36,Дані!B61)</f>
        <v>0</v>
      </c>
      <c r="E20" s="312">
        <f>Чорн!D18</f>
        <v>0</v>
      </c>
      <c r="F20" s="310">
        <f>Чорн!E18</f>
        <v>0</v>
      </c>
      <c r="G20" s="310">
        <f>Чорн!F18</f>
        <v>0</v>
      </c>
      <c r="H20" s="310">
        <f>Чорн!G18</f>
        <v>0</v>
      </c>
      <c r="I20" s="310">
        <f>Чорн!H18</f>
        <v>0</v>
      </c>
      <c r="J20" s="310">
        <f>Чорн!I18</f>
        <v>0</v>
      </c>
      <c r="K20" s="310">
        <f>Чорн!J18</f>
        <v>0</v>
      </c>
      <c r="L20" s="310">
        <f>Чорн!K18</f>
        <v>0</v>
      </c>
      <c r="M20" s="310">
        <f>Чорн!L18</f>
        <v>0</v>
      </c>
      <c r="N20" s="310">
        <f>Чорн!M18</f>
        <v>0</v>
      </c>
      <c r="O20" s="310">
        <f>Чорн!N18</f>
        <v>0</v>
      </c>
      <c r="P20" s="310">
        <f>Чорн!O18</f>
        <v>0</v>
      </c>
      <c r="Q20" s="310">
        <f>Чорн!P18</f>
        <v>0</v>
      </c>
      <c r="R20" s="310">
        <f t="shared" si="2"/>
        <v>0</v>
      </c>
      <c r="S20" s="310">
        <f>Чорн!R18</f>
        <v>0</v>
      </c>
      <c r="T20" s="310">
        <f>Чорн!S18</f>
        <v>0</v>
      </c>
      <c r="U20" s="310">
        <f>Чорн!T18</f>
        <v>0</v>
      </c>
      <c r="V20" s="310">
        <f>Чорн!U18</f>
        <v>0</v>
      </c>
      <c r="W20" s="310">
        <f>Чорн!V18</f>
        <v>0</v>
      </c>
      <c r="X20" s="310">
        <f>Чорн!W18</f>
        <v>0</v>
      </c>
      <c r="Y20" s="310">
        <f>Чорн!X18</f>
        <v>0</v>
      </c>
      <c r="Z20" s="310">
        <f>Чорн!Y18</f>
        <v>0</v>
      </c>
      <c r="AA20" s="314">
        <f t="shared" si="3"/>
        <v>0</v>
      </c>
      <c r="AB20" s="19"/>
    </row>
    <row r="21" spans="1:28" ht="19.5" customHeight="1">
      <c r="A21" s="35">
        <v>12</v>
      </c>
      <c r="B21" s="311">
        <f>Чорн!B19</f>
        <v>0</v>
      </c>
      <c r="C21" s="311">
        <f>Чорн!C19</f>
        <v>0</v>
      </c>
      <c r="D21" s="330">
        <f>IF(Чорн!$C$3=Дані!$A$4,Дані!B37,Дані!B62)</f>
        <v>0</v>
      </c>
      <c r="E21" s="312">
        <f>Чорн!D19</f>
        <v>0</v>
      </c>
      <c r="F21" s="310">
        <f>Чорн!E19</f>
        <v>0</v>
      </c>
      <c r="G21" s="310">
        <f>Чорн!F19</f>
        <v>0</v>
      </c>
      <c r="H21" s="310">
        <f>Чорн!G19</f>
        <v>0</v>
      </c>
      <c r="I21" s="310">
        <f>Чорн!H19</f>
        <v>0</v>
      </c>
      <c r="J21" s="310">
        <f>Чорн!I19</f>
        <v>0</v>
      </c>
      <c r="K21" s="310">
        <f>Чорн!J19</f>
        <v>0</v>
      </c>
      <c r="L21" s="310">
        <f>Чорн!K19</f>
        <v>0</v>
      </c>
      <c r="M21" s="310">
        <f>Чорн!L19</f>
        <v>0</v>
      </c>
      <c r="N21" s="310">
        <f>Чорн!M19</f>
        <v>0</v>
      </c>
      <c r="O21" s="310">
        <f>Чорн!N19</f>
        <v>0</v>
      </c>
      <c r="P21" s="310">
        <f>Чорн!O19</f>
        <v>0</v>
      </c>
      <c r="Q21" s="310">
        <f>Чорн!P19</f>
        <v>0</v>
      </c>
      <c r="R21" s="310">
        <f t="shared" si="2"/>
        <v>0</v>
      </c>
      <c r="S21" s="310">
        <f>Чорн!R19</f>
        <v>0</v>
      </c>
      <c r="T21" s="310">
        <f>Чорн!S19</f>
        <v>0</v>
      </c>
      <c r="U21" s="310">
        <f>Чорн!T19</f>
        <v>0</v>
      </c>
      <c r="V21" s="310">
        <f>Чорн!U19</f>
        <v>0</v>
      </c>
      <c r="W21" s="310">
        <f>Чорн!V19</f>
        <v>0</v>
      </c>
      <c r="X21" s="310">
        <f>Чорн!W19</f>
        <v>0</v>
      </c>
      <c r="Y21" s="310">
        <f>Чорн!X19</f>
        <v>0</v>
      </c>
      <c r="Z21" s="310">
        <f>Чорн!Y19</f>
        <v>0</v>
      </c>
      <c r="AA21" s="314">
        <f t="shared" si="3"/>
        <v>0</v>
      </c>
      <c r="AB21" s="19"/>
    </row>
    <row r="22" spans="1:28" ht="19.5" customHeight="1">
      <c r="A22" s="35">
        <v>13</v>
      </c>
      <c r="B22" s="311">
        <f>Чорн!B20</f>
        <v>0</v>
      </c>
      <c r="C22" s="311">
        <f>Чорн!C20</f>
        <v>0</v>
      </c>
      <c r="D22" s="330">
        <f>IF(Чорн!$C$3=Дані!$A$4,Дані!B38,Дані!B63)</f>
        <v>0</v>
      </c>
      <c r="E22" s="312">
        <f>Чорн!D20</f>
        <v>0</v>
      </c>
      <c r="F22" s="310">
        <f>Чорн!E20</f>
        <v>0</v>
      </c>
      <c r="G22" s="310">
        <f>Чорн!F20</f>
        <v>0</v>
      </c>
      <c r="H22" s="310">
        <f>Чорн!G20</f>
        <v>0</v>
      </c>
      <c r="I22" s="310">
        <f>Чорн!H20</f>
        <v>0</v>
      </c>
      <c r="J22" s="310">
        <f>Чорн!I20</f>
        <v>0</v>
      </c>
      <c r="K22" s="310">
        <f>Чорн!J20</f>
        <v>0</v>
      </c>
      <c r="L22" s="310">
        <f>Чорн!K20</f>
        <v>0</v>
      </c>
      <c r="M22" s="310">
        <f>Чорн!L20</f>
        <v>0</v>
      </c>
      <c r="N22" s="310">
        <f>Чорн!M20</f>
        <v>0</v>
      </c>
      <c r="O22" s="310">
        <f>Чорн!N20</f>
        <v>0</v>
      </c>
      <c r="P22" s="310">
        <f>Чорн!O20</f>
        <v>0</v>
      </c>
      <c r="Q22" s="310">
        <f>Чорн!P20</f>
        <v>0</v>
      </c>
      <c r="R22" s="310">
        <f t="shared" si="2"/>
        <v>0</v>
      </c>
      <c r="S22" s="310">
        <f>Чорн!R20</f>
        <v>0</v>
      </c>
      <c r="T22" s="310">
        <f>Чорн!S20</f>
        <v>0</v>
      </c>
      <c r="U22" s="310">
        <f>Чорн!T20</f>
        <v>0</v>
      </c>
      <c r="V22" s="310">
        <f>Чорн!U20</f>
        <v>0</v>
      </c>
      <c r="W22" s="310">
        <f>Чорн!V20</f>
        <v>0</v>
      </c>
      <c r="X22" s="310">
        <f>Чорн!W20</f>
        <v>0</v>
      </c>
      <c r="Y22" s="310">
        <f>Чорн!X20</f>
        <v>0</v>
      </c>
      <c r="Z22" s="310">
        <f>Чорн!Y20</f>
        <v>0</v>
      </c>
      <c r="AA22" s="314">
        <f t="shared" si="3"/>
        <v>0</v>
      </c>
      <c r="AB22" s="19"/>
    </row>
    <row r="23" spans="1:28" ht="19.5" customHeight="1">
      <c r="A23" s="35">
        <v>14</v>
      </c>
      <c r="B23" s="311">
        <f>Чорн!B21</f>
        <v>0</v>
      </c>
      <c r="C23" s="311">
        <f>Чорн!C21</f>
        <v>0</v>
      </c>
      <c r="D23" s="330">
        <f>IF(Чорн!$C$3=Дані!$A$4,Дані!B39,Дані!B64)</f>
        <v>0</v>
      </c>
      <c r="E23" s="312">
        <f>Чорн!D21</f>
        <v>0</v>
      </c>
      <c r="F23" s="310">
        <f>Чорн!E21</f>
        <v>0</v>
      </c>
      <c r="G23" s="310">
        <f>Чорн!F21</f>
        <v>0</v>
      </c>
      <c r="H23" s="310">
        <f>Чорн!G21</f>
        <v>0</v>
      </c>
      <c r="I23" s="310">
        <f>Чорн!H21</f>
        <v>0</v>
      </c>
      <c r="J23" s="310">
        <f>Чорн!I21</f>
        <v>0</v>
      </c>
      <c r="K23" s="310">
        <f>Чорн!J21</f>
        <v>0</v>
      </c>
      <c r="L23" s="310">
        <f>Чорн!K21</f>
        <v>0</v>
      </c>
      <c r="M23" s="310">
        <f>Чорн!L21</f>
        <v>0</v>
      </c>
      <c r="N23" s="310">
        <f>Чорн!M21</f>
        <v>0</v>
      </c>
      <c r="O23" s="310">
        <f>Чорн!N21</f>
        <v>0</v>
      </c>
      <c r="P23" s="310">
        <f>Чорн!O21</f>
        <v>0</v>
      </c>
      <c r="Q23" s="310">
        <f>Чорн!P21</f>
        <v>0</v>
      </c>
      <c r="R23" s="310">
        <f t="shared" si="2"/>
        <v>0</v>
      </c>
      <c r="S23" s="310">
        <f>Чорн!R21</f>
        <v>0</v>
      </c>
      <c r="T23" s="310">
        <f>Чорн!S21</f>
        <v>0</v>
      </c>
      <c r="U23" s="310">
        <f>Чорн!T21</f>
        <v>0</v>
      </c>
      <c r="V23" s="310">
        <f>Чорн!U21</f>
        <v>0</v>
      </c>
      <c r="W23" s="310">
        <f>Чорн!V21</f>
        <v>0</v>
      </c>
      <c r="X23" s="310">
        <f>Чорн!W21</f>
        <v>0</v>
      </c>
      <c r="Y23" s="310">
        <f>Чорн!X21</f>
        <v>0</v>
      </c>
      <c r="Z23" s="310">
        <f>Чорн!Y21</f>
        <v>0</v>
      </c>
      <c r="AA23" s="314">
        <f t="shared" si="3"/>
        <v>0</v>
      </c>
      <c r="AB23" s="19"/>
    </row>
    <row r="24" spans="1:28" ht="19.5" customHeight="1">
      <c r="A24" s="35">
        <v>15</v>
      </c>
      <c r="B24" s="311">
        <f>Чорн!B22</f>
        <v>0</v>
      </c>
      <c r="C24" s="311">
        <f>Чорн!C22</f>
        <v>0</v>
      </c>
      <c r="D24" s="330">
        <f>IF(Чорн!$C$3=Дані!$A$4,Дані!B40,Дані!B65)</f>
        <v>0</v>
      </c>
      <c r="E24" s="312">
        <f>Чорн!D22</f>
        <v>0</v>
      </c>
      <c r="F24" s="310">
        <f>Чорн!E22</f>
        <v>0</v>
      </c>
      <c r="G24" s="310">
        <f>Чорн!F22</f>
        <v>0</v>
      </c>
      <c r="H24" s="310">
        <f>Чорн!G22</f>
        <v>0</v>
      </c>
      <c r="I24" s="310">
        <f>Чорн!H22</f>
        <v>0</v>
      </c>
      <c r="J24" s="310">
        <f>Чорн!I22</f>
        <v>0</v>
      </c>
      <c r="K24" s="310">
        <f>Чорн!J22</f>
        <v>0</v>
      </c>
      <c r="L24" s="310">
        <f>Чорн!K22</f>
        <v>0</v>
      </c>
      <c r="M24" s="310">
        <f>Чорн!L22</f>
        <v>0</v>
      </c>
      <c r="N24" s="310">
        <f>Чорн!M22</f>
        <v>0</v>
      </c>
      <c r="O24" s="310">
        <f>Чорн!N22</f>
        <v>0</v>
      </c>
      <c r="P24" s="310">
        <f>Чорн!O22</f>
        <v>0</v>
      </c>
      <c r="Q24" s="310">
        <f>Чорн!P22</f>
        <v>0</v>
      </c>
      <c r="R24" s="310">
        <f t="shared" si="2"/>
        <v>0</v>
      </c>
      <c r="S24" s="310">
        <f>Чорн!R22</f>
        <v>0</v>
      </c>
      <c r="T24" s="310">
        <f>Чорн!S22</f>
        <v>0</v>
      </c>
      <c r="U24" s="310">
        <f>Чорн!T22</f>
        <v>0</v>
      </c>
      <c r="V24" s="310">
        <f>Чорн!U22</f>
        <v>0</v>
      </c>
      <c r="W24" s="310">
        <f>Чорн!V22</f>
        <v>0</v>
      </c>
      <c r="X24" s="310">
        <f>Чорн!W22</f>
        <v>0</v>
      </c>
      <c r="Y24" s="310">
        <f>Чорн!X22</f>
        <v>0</v>
      </c>
      <c r="Z24" s="310">
        <f>Чорн!Y22</f>
        <v>0</v>
      </c>
      <c r="AA24" s="314">
        <f t="shared" si="3"/>
        <v>0</v>
      </c>
      <c r="AB24" s="19"/>
    </row>
    <row r="25" spans="1:27" ht="19.5" customHeight="1">
      <c r="A25" s="534" t="s">
        <v>10</v>
      </c>
      <c r="B25" s="535"/>
      <c r="C25" s="536"/>
      <c r="D25" s="304"/>
      <c r="E25" s="311"/>
      <c r="F25" s="313">
        <f aca="true" t="shared" si="4" ref="F25:M25">SUM(F10:F24)</f>
        <v>2328</v>
      </c>
      <c r="G25" s="313">
        <f t="shared" si="4"/>
        <v>90</v>
      </c>
      <c r="H25" s="313">
        <f t="shared" si="4"/>
        <v>0</v>
      </c>
      <c r="I25" s="313">
        <f t="shared" si="4"/>
        <v>0</v>
      </c>
      <c r="J25" s="313">
        <f t="shared" si="4"/>
        <v>0</v>
      </c>
      <c r="K25" s="313">
        <f t="shared" si="4"/>
        <v>0</v>
      </c>
      <c r="L25" s="313">
        <f t="shared" si="4"/>
        <v>0</v>
      </c>
      <c r="M25" s="313">
        <f t="shared" si="4"/>
        <v>763.5</v>
      </c>
      <c r="N25" s="313">
        <f aca="true" t="shared" si="5" ref="N25:S25">SUM(N10:N24)</f>
        <v>0</v>
      </c>
      <c r="O25" s="313">
        <f t="shared" si="5"/>
        <v>0</v>
      </c>
      <c r="P25" s="313">
        <f t="shared" si="5"/>
        <v>650</v>
      </c>
      <c r="Q25" s="313">
        <f t="shared" si="5"/>
        <v>0</v>
      </c>
      <c r="R25" s="313">
        <f t="shared" si="5"/>
        <v>3831.5</v>
      </c>
      <c r="S25" s="313">
        <f t="shared" si="5"/>
        <v>0</v>
      </c>
      <c r="T25" s="313">
        <f aca="true" t="shared" si="6" ref="T25:AA25">SUM(T10:T24)</f>
        <v>350.15</v>
      </c>
      <c r="U25" s="313">
        <f t="shared" si="6"/>
        <v>233.72000000000003</v>
      </c>
      <c r="V25" s="313">
        <f t="shared" si="6"/>
        <v>0</v>
      </c>
      <c r="W25" s="313">
        <f t="shared" si="6"/>
        <v>0</v>
      </c>
      <c r="X25" s="313">
        <f t="shared" si="6"/>
        <v>38.32</v>
      </c>
      <c r="Y25" s="313">
        <f t="shared" si="6"/>
        <v>0</v>
      </c>
      <c r="Z25" s="313">
        <f t="shared" si="6"/>
        <v>622.1899999999999</v>
      </c>
      <c r="AA25" s="313">
        <f t="shared" si="6"/>
        <v>3209.3100000000004</v>
      </c>
    </row>
    <row r="26" spans="1:26" ht="15" customHeight="1">
      <c r="A26" s="29"/>
      <c r="B26" s="29"/>
      <c r="C26" s="29"/>
      <c r="D26" s="29"/>
      <c r="E26" s="38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29"/>
      <c r="Y26" s="29"/>
      <c r="Z26" s="29"/>
    </row>
    <row r="27" spans="1:22" ht="19.5" customHeight="1">
      <c r="A27" s="1"/>
      <c r="B27" s="12"/>
      <c r="C27" s="12" t="s">
        <v>13</v>
      </c>
      <c r="D27" s="12"/>
      <c r="E27" s="675" t="str">
        <f>converter(AA25)</f>
        <v>Три тисячі двісті дев'ять гривень 31 копійка.</v>
      </c>
      <c r="F27" s="675"/>
      <c r="G27" s="675"/>
      <c r="H27" s="675"/>
      <c r="I27" s="675"/>
      <c r="J27" s="675"/>
      <c r="K27" s="675"/>
      <c r="L27" s="675"/>
      <c r="M27" s="675"/>
      <c r="N27" s="675"/>
      <c r="O27" s="675"/>
      <c r="P27" s="675"/>
      <c r="Q27" s="675"/>
      <c r="R27" s="4"/>
      <c r="S27" s="4"/>
      <c r="T27" s="11"/>
      <c r="U27" s="9"/>
      <c r="V27" s="9"/>
    </row>
    <row r="28" spans="1:22" ht="19.5" customHeight="1">
      <c r="A28" s="2"/>
      <c r="B28" s="2"/>
      <c r="C28" s="2"/>
      <c r="D28" s="2"/>
      <c r="E28" s="125"/>
      <c r="F28" s="9"/>
      <c r="G28" s="8"/>
      <c r="H28" s="9"/>
      <c r="I28" s="9"/>
      <c r="J28" s="9"/>
      <c r="K28" s="9"/>
      <c r="L28" s="4"/>
      <c r="M28" s="4"/>
      <c r="N28" s="4"/>
      <c r="O28" s="4"/>
      <c r="P28" s="4"/>
      <c r="Q28" s="4"/>
      <c r="R28" s="11"/>
      <c r="S28" s="4"/>
      <c r="T28" s="4"/>
      <c r="U28" s="9"/>
      <c r="V28" s="9"/>
    </row>
    <row r="29" spans="1:22" ht="19.5" customHeight="1">
      <c r="A29" s="2"/>
      <c r="B29" s="2"/>
      <c r="C29" s="2"/>
      <c r="D29" s="2"/>
      <c r="E29" s="125"/>
      <c r="F29" s="9"/>
      <c r="G29" s="172" t="str">
        <f>Дані!B11</f>
        <v>Сільський голова</v>
      </c>
      <c r="H29" s="172"/>
      <c r="I29" s="172"/>
      <c r="J29" s="172"/>
      <c r="K29" s="172"/>
      <c r="L29" s="309"/>
      <c r="M29" s="309"/>
      <c r="N29" s="309"/>
      <c r="O29" s="172"/>
      <c r="P29" s="172" t="str">
        <f>Дані!D11</f>
        <v>Іваанов</v>
      </c>
      <c r="Q29" s="172"/>
      <c r="R29" s="172"/>
      <c r="S29" s="2"/>
      <c r="T29" s="10"/>
      <c r="U29" s="2"/>
      <c r="V29" s="9"/>
    </row>
    <row r="30" spans="1:22" ht="19.5" customHeight="1">
      <c r="A30" s="2"/>
      <c r="B30" s="2"/>
      <c r="C30" s="2"/>
      <c r="D30" s="2"/>
      <c r="E30" s="125"/>
      <c r="F30" s="9"/>
      <c r="G30" s="172"/>
      <c r="H30" s="9"/>
      <c r="I30" s="9"/>
      <c r="J30" s="9"/>
      <c r="K30" s="9"/>
      <c r="L30" s="2"/>
      <c r="M30" s="2"/>
      <c r="N30" s="4"/>
      <c r="O30" s="172"/>
      <c r="P30" s="2"/>
      <c r="Q30" s="2"/>
      <c r="R30" s="2"/>
      <c r="S30" s="2"/>
      <c r="T30" s="2"/>
      <c r="U30" s="2"/>
      <c r="V30" s="2"/>
    </row>
    <row r="31" spans="1:22" ht="19.5" customHeight="1">
      <c r="A31" s="2"/>
      <c r="B31" s="2"/>
      <c r="C31" s="2"/>
      <c r="D31" s="2"/>
      <c r="E31" s="124"/>
      <c r="F31" s="2"/>
      <c r="G31" s="172" t="str">
        <f>Дані!B12</f>
        <v>Головний бухгалтер</v>
      </c>
      <c r="H31" s="172"/>
      <c r="I31" s="172"/>
      <c r="J31" s="172"/>
      <c r="K31" s="172"/>
      <c r="L31" s="309"/>
      <c r="M31" s="309"/>
      <c r="N31" s="309"/>
      <c r="O31" s="172"/>
      <c r="P31" s="172" t="str">
        <f>Дані!D12</f>
        <v>сідоров</v>
      </c>
      <c r="Q31" s="172"/>
      <c r="R31" s="172"/>
      <c r="S31" s="8"/>
      <c r="T31" s="8"/>
      <c r="U31" s="2"/>
      <c r="V31" s="2"/>
    </row>
  </sheetData>
  <sheetProtection sheet="1" objects="1" scenarios="1" formatCells="0" selectLockedCells="1"/>
  <mergeCells count="46">
    <mergeCell ref="Z8:Z9"/>
    <mergeCell ref="Q8:Q9"/>
    <mergeCell ref="S8:S9"/>
    <mergeCell ref="T8:T9"/>
    <mergeCell ref="Y8:Y9"/>
    <mergeCell ref="V8:V9"/>
    <mergeCell ref="W1:Y1"/>
    <mergeCell ref="G2:U2"/>
    <mergeCell ref="S7:Z7"/>
    <mergeCell ref="V5:W5"/>
    <mergeCell ref="F5:J5"/>
    <mergeCell ref="M5:O5"/>
    <mergeCell ref="R5:U5"/>
    <mergeCell ref="G1:Q1"/>
    <mergeCell ref="A1:B1"/>
    <mergeCell ref="A2:B2"/>
    <mergeCell ref="C2:F2"/>
    <mergeCell ref="C1:F1"/>
    <mergeCell ref="G8:G9"/>
    <mergeCell ref="E27:Q27"/>
    <mergeCell ref="A25:C25"/>
    <mergeCell ref="J8:K8"/>
    <mergeCell ref="I8:I9"/>
    <mergeCell ref="A7:A9"/>
    <mergeCell ref="P8:P9"/>
    <mergeCell ref="M8:M9"/>
    <mergeCell ref="N8:N9"/>
    <mergeCell ref="O8:O9"/>
    <mergeCell ref="AA7:AA9"/>
    <mergeCell ref="M3:O3"/>
    <mergeCell ref="R7:R9"/>
    <mergeCell ref="F7:Q7"/>
    <mergeCell ref="U3:Y3"/>
    <mergeCell ref="L8:L9"/>
    <mergeCell ref="U8:U9"/>
    <mergeCell ref="X8:X9"/>
    <mergeCell ref="H8:H9"/>
    <mergeCell ref="W8:W9"/>
    <mergeCell ref="A3:B3"/>
    <mergeCell ref="C3:F3"/>
    <mergeCell ref="A5:C5"/>
    <mergeCell ref="D7:D9"/>
    <mergeCell ref="B7:B9"/>
    <mergeCell ref="F8:F9"/>
    <mergeCell ref="C7:C9"/>
    <mergeCell ref="E7:E9"/>
  </mergeCells>
  <printOptions/>
  <pageMargins left="0" right="0" top="1.3779527559055118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1:N84"/>
  <sheetViews>
    <sheetView workbookViewId="0" topLeftCell="A66">
      <selection activeCell="A74" sqref="A74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7.7109375" style="0" customWidth="1"/>
    <col min="4" max="12" width="6.7109375" style="0" customWidth="1"/>
    <col min="13" max="13" width="7.7109375" style="0" customWidth="1"/>
  </cols>
  <sheetData>
    <row r="1" spans="6:14" ht="12.75" customHeight="1">
      <c r="F1" s="732" t="s">
        <v>244</v>
      </c>
      <c r="G1" s="732"/>
      <c r="H1" s="732"/>
      <c r="I1" s="732"/>
      <c r="J1" s="732"/>
      <c r="K1" s="732"/>
      <c r="L1" s="732"/>
      <c r="M1" s="732"/>
      <c r="N1" s="681"/>
    </row>
    <row r="2" spans="6:14" ht="12.75">
      <c r="F2" s="732"/>
      <c r="G2" s="732"/>
      <c r="H2" s="732"/>
      <c r="I2" s="732"/>
      <c r="J2" s="732"/>
      <c r="K2" s="732"/>
      <c r="L2" s="732"/>
      <c r="M2" s="732"/>
      <c r="N2" s="681"/>
    </row>
    <row r="3" spans="6:13" ht="15" customHeight="1">
      <c r="F3" s="732"/>
      <c r="G3" s="732"/>
      <c r="H3" s="732"/>
      <c r="I3" s="732"/>
      <c r="J3" s="732"/>
      <c r="K3" s="732"/>
      <c r="L3" s="732"/>
      <c r="M3" s="732"/>
    </row>
    <row r="4" spans="1:13" ht="15" customHeight="1">
      <c r="A4" s="733" t="s">
        <v>102</v>
      </c>
      <c r="B4" s="733"/>
      <c r="C4" s="733"/>
      <c r="D4" s="734"/>
      <c r="E4" s="734"/>
      <c r="F4" s="734"/>
      <c r="G4" s="734"/>
      <c r="H4" s="734"/>
      <c r="I4" s="734"/>
      <c r="J4" s="734"/>
      <c r="K4" s="734"/>
      <c r="L4" s="82"/>
      <c r="M4" s="82"/>
    </row>
    <row r="5" spans="1:13" ht="15" customHeight="1">
      <c r="A5" s="733" t="s">
        <v>149</v>
      </c>
      <c r="B5" s="733"/>
      <c r="C5" s="733"/>
      <c r="D5" s="18"/>
      <c r="E5" s="18"/>
      <c r="F5" s="18"/>
      <c r="G5" s="85"/>
      <c r="H5" s="85"/>
      <c r="I5" s="85"/>
      <c r="J5" s="85"/>
      <c r="K5" s="85"/>
      <c r="L5" s="82"/>
      <c r="M5" s="82"/>
    </row>
    <row r="6" spans="1:13" ht="15" customHeight="1">
      <c r="A6" s="733" t="s">
        <v>148</v>
      </c>
      <c r="B6" s="733"/>
      <c r="C6" s="733"/>
      <c r="D6" s="733"/>
      <c r="E6" s="733"/>
      <c r="F6" s="733"/>
      <c r="G6" s="733"/>
      <c r="H6" s="733"/>
      <c r="I6" s="733"/>
      <c r="J6" s="733"/>
      <c r="K6" s="733"/>
      <c r="L6" s="86"/>
      <c r="M6" s="86"/>
    </row>
    <row r="7" spans="1:13" ht="21.75" customHeight="1" thickBot="1">
      <c r="A7" s="725" t="str">
        <f>Дані!B1</f>
        <v>УДКСУ  у   районі</v>
      </c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</row>
    <row r="8" spans="1:13" ht="9" customHeight="1">
      <c r="A8" s="726" t="s">
        <v>103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</row>
    <row r="9" spans="1:13" ht="13.5" customHeight="1">
      <c r="A9" s="735" t="s">
        <v>50</v>
      </c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</row>
    <row r="10" spans="1:13" ht="13.5" customHeight="1">
      <c r="A10" s="736" t="s">
        <v>51</v>
      </c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</row>
    <row r="11" spans="1:13" ht="13.5" customHeight="1">
      <c r="A11" s="736" t="s">
        <v>52</v>
      </c>
      <c r="B11" s="736"/>
      <c r="C11" s="736"/>
      <c r="D11" s="736"/>
      <c r="E11" s="736"/>
      <c r="F11" s="736"/>
      <c r="G11" s="736"/>
      <c r="H11" s="736"/>
      <c r="I11" s="736"/>
      <c r="J11" s="736"/>
      <c r="K11" s="736"/>
      <c r="L11" s="736"/>
      <c r="M11" s="736"/>
    </row>
    <row r="12" spans="1:13" ht="15" customHeight="1">
      <c r="A12" s="87"/>
      <c r="B12" s="87"/>
      <c r="C12" s="87"/>
      <c r="D12" s="88"/>
      <c r="E12" s="903">
        <f>Дані!B7</f>
        <v>13</v>
      </c>
      <c r="F12" s="904" t="str">
        <f>IF(Чорн!R1&lt;7,Дані!B21,Дані!B22)</f>
        <v>березня</v>
      </c>
      <c r="G12" s="904"/>
      <c r="H12" s="87">
        <f>Чорн!P3</f>
        <v>2013</v>
      </c>
      <c r="I12" s="87" t="s">
        <v>37</v>
      </c>
      <c r="J12" s="87"/>
      <c r="K12" s="87"/>
      <c r="L12" s="87"/>
      <c r="M12" s="87"/>
    </row>
    <row r="13" spans="1:13" ht="21.75" customHeight="1" thickBot="1">
      <c r="A13" s="728" t="str">
        <f>Дані!B2</f>
        <v> сільська  рада</v>
      </c>
      <c r="B13" s="728"/>
      <c r="C13" s="728"/>
      <c r="D13" s="728"/>
      <c r="E13" s="728"/>
      <c r="F13" s="728"/>
      <c r="G13" s="728"/>
      <c r="H13" s="728"/>
      <c r="I13" s="728"/>
      <c r="J13" s="728"/>
      <c r="K13" s="728"/>
      <c r="L13" s="728"/>
      <c r="M13" s="728"/>
    </row>
    <row r="14" spans="1:13" ht="7.5" customHeight="1">
      <c r="A14" s="712" t="s">
        <v>104</v>
      </c>
      <c r="B14" s="712"/>
      <c r="C14" s="712"/>
      <c r="D14" s="712"/>
      <c r="E14" s="712"/>
      <c r="F14" s="712"/>
      <c r="G14" s="712"/>
      <c r="H14" s="712"/>
      <c r="I14" s="712"/>
      <c r="J14" s="712"/>
      <c r="K14" s="712"/>
      <c r="L14" s="712"/>
      <c r="M14" s="712"/>
    </row>
    <row r="15" spans="1:13" ht="18.75" customHeight="1" thickBot="1">
      <c r="A15" s="731" t="str">
        <f>IF(I15=Дані!A4,Дані!B4,Дані!B5)</f>
        <v>35414001******,</v>
      </c>
      <c r="B15" s="731"/>
      <c r="C15" s="731"/>
      <c r="D15" s="731"/>
      <c r="E15" s="731"/>
      <c r="F15" s="731"/>
      <c r="G15" s="731"/>
      <c r="H15" s="731"/>
      <c r="I15" s="764" t="str">
        <f>Чорн!C3</f>
        <v>010116</v>
      </c>
      <c r="J15" s="764"/>
      <c r="K15" s="226"/>
      <c r="L15" s="226"/>
      <c r="M15" s="226"/>
    </row>
    <row r="16" spans="1:13" ht="8.25" customHeight="1">
      <c r="A16" s="711" t="s">
        <v>316</v>
      </c>
      <c r="B16" s="711"/>
      <c r="C16" s="711"/>
      <c r="D16" s="711"/>
      <c r="E16" s="711"/>
      <c r="F16" s="711"/>
      <c r="G16" s="711"/>
      <c r="H16" s="711"/>
      <c r="I16" s="711"/>
      <c r="J16" s="711"/>
      <c r="K16" s="711"/>
      <c r="L16" s="711"/>
      <c r="M16" s="711"/>
    </row>
    <row r="17" spans="1:11" ht="15" customHeight="1">
      <c r="A17" s="90" t="s">
        <v>111</v>
      </c>
      <c r="E17" s="91"/>
      <c r="J17" s="21"/>
      <c r="K17" s="21"/>
    </row>
    <row r="18" spans="1:13" ht="45" customHeight="1" thickBot="1">
      <c r="A18" s="707" t="str">
        <f>CONCATENATE("Заробітна плата за першу половину ",F12,"  КЕКВ 2111 -",C45,";  КЕКВ 2120 - ",G63,";")</f>
        <v>Заробітна плата за першу половину березня  КЕКВ 2111 -280;  КЕКВ 2120 - 340;</v>
      </c>
      <c r="B18" s="707"/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707"/>
    </row>
    <row r="19" spans="1:13" ht="8.25" customHeight="1">
      <c r="A19" s="711" t="s">
        <v>317</v>
      </c>
      <c r="B19" s="711"/>
      <c r="C19" s="711"/>
      <c r="D19" s="711"/>
      <c r="E19" s="711"/>
      <c r="F19" s="711"/>
      <c r="G19" s="711"/>
      <c r="H19" s="711"/>
      <c r="I19" s="711"/>
      <c r="J19" s="712"/>
      <c r="K19" s="711"/>
      <c r="L19" s="711"/>
      <c r="M19" s="711"/>
    </row>
    <row r="20" spans="1:13" ht="15" customHeight="1">
      <c r="A20" s="708" t="s">
        <v>105</v>
      </c>
      <c r="B20" s="708"/>
      <c r="C20" s="708"/>
      <c r="D20" s="709" t="str">
        <f>converter(M54)</f>
        <v>Гривень 00 копійок.</v>
      </c>
      <c r="E20" s="709"/>
      <c r="F20" s="709"/>
      <c r="G20" s="709"/>
      <c r="H20" s="709"/>
      <c r="I20" s="709"/>
      <c r="J20" s="709"/>
      <c r="K20" s="709"/>
      <c r="L20" s="709"/>
      <c r="M20" s="709"/>
    </row>
    <row r="21" spans="1:13" ht="7.5" customHeight="1">
      <c r="A21" s="92"/>
      <c r="B21" s="92"/>
      <c r="C21" s="89"/>
      <c r="D21" s="89"/>
      <c r="E21" s="89"/>
      <c r="F21" s="89"/>
      <c r="G21" s="89"/>
      <c r="H21" s="710" t="s">
        <v>151</v>
      </c>
      <c r="I21" s="710"/>
      <c r="J21" s="89"/>
      <c r="K21" s="89"/>
      <c r="L21" s="89"/>
      <c r="M21" s="89"/>
    </row>
    <row r="22" spans="1:13" ht="15" customHeight="1" thickBot="1">
      <c r="A22" s="708" t="s">
        <v>106</v>
      </c>
      <c r="B22" s="708"/>
      <c r="C22" s="729"/>
      <c r="D22" s="729"/>
      <c r="E22" s="729"/>
      <c r="F22" s="729"/>
      <c r="G22" s="729"/>
      <c r="H22" s="729"/>
      <c r="I22" s="729"/>
      <c r="J22" s="729"/>
      <c r="K22" s="729"/>
      <c r="L22" s="729"/>
      <c r="M22" s="729"/>
    </row>
    <row r="23" spans="1:13" ht="8.25" customHeight="1">
      <c r="A23" s="711" t="s">
        <v>317</v>
      </c>
      <c r="B23" s="711"/>
      <c r="C23" s="712"/>
      <c r="D23" s="712"/>
      <c r="E23" s="712"/>
      <c r="F23" s="712"/>
      <c r="G23" s="712"/>
      <c r="H23" s="712"/>
      <c r="I23" s="712"/>
      <c r="J23" s="712"/>
      <c r="K23" s="712"/>
      <c r="L23" s="712"/>
      <c r="M23" s="712"/>
    </row>
    <row r="24" spans="1:13" ht="15" customHeight="1">
      <c r="A24" s="708" t="s">
        <v>107</v>
      </c>
      <c r="B24" s="708"/>
      <c r="C24" s="730"/>
      <c r="D24" s="730"/>
      <c r="E24" s="730"/>
      <c r="F24" s="730"/>
      <c r="G24" s="730"/>
      <c r="H24" s="730"/>
      <c r="I24" s="730"/>
      <c r="J24" s="730"/>
      <c r="K24" s="730"/>
      <c r="L24" s="730"/>
      <c r="M24" s="730"/>
    </row>
    <row r="25" spans="1:13" ht="7.5" customHeight="1">
      <c r="A25" s="92"/>
      <c r="B25" s="92"/>
      <c r="C25" s="89"/>
      <c r="D25" s="89"/>
      <c r="E25" s="89"/>
      <c r="F25" s="89"/>
      <c r="G25" s="89"/>
      <c r="H25" s="710" t="s">
        <v>151</v>
      </c>
      <c r="I25" s="710"/>
      <c r="J25" s="89"/>
      <c r="K25" s="89"/>
      <c r="L25" s="89"/>
      <c r="M25" s="89"/>
    </row>
    <row r="26" spans="1:13" ht="15" customHeight="1">
      <c r="A26" s="737" t="s">
        <v>53</v>
      </c>
      <c r="B26" s="737"/>
      <c r="C26" s="737"/>
      <c r="D26" s="737"/>
      <c r="E26" s="737"/>
      <c r="F26" s="737"/>
      <c r="G26" s="737"/>
      <c r="H26" s="737"/>
      <c r="I26" s="737"/>
      <c r="J26" s="737"/>
      <c r="K26" s="737"/>
      <c r="L26" s="737"/>
      <c r="M26" s="737"/>
    </row>
    <row r="27" spans="1:13" ht="9" customHeight="1">
      <c r="A27" s="712" t="s">
        <v>54</v>
      </c>
      <c r="B27" s="712"/>
      <c r="C27" s="712"/>
      <c r="D27" s="712"/>
      <c r="E27" s="712"/>
      <c r="F27" s="712"/>
      <c r="G27" s="712"/>
      <c r="H27" s="712"/>
      <c r="I27" s="712"/>
      <c r="J27" s="712"/>
      <c r="K27" s="712"/>
      <c r="L27" s="712"/>
      <c r="M27" s="712"/>
    </row>
    <row r="28" spans="1:13" ht="15" customHeight="1">
      <c r="A28" s="741" t="s">
        <v>55</v>
      </c>
      <c r="B28" s="741"/>
      <c r="C28" s="741"/>
      <c r="D28" s="741"/>
      <c r="E28" s="741"/>
      <c r="F28" s="741"/>
      <c r="G28" s="741"/>
      <c r="H28" s="741"/>
      <c r="I28" s="741"/>
      <c r="J28" s="741"/>
      <c r="K28" s="741"/>
      <c r="L28" s="741"/>
      <c r="M28" s="741"/>
    </row>
    <row r="29" spans="1:13" ht="15" customHeight="1">
      <c r="A29" s="472" t="s">
        <v>112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</row>
    <row r="30" spans="1:13" ht="15" customHeight="1">
      <c r="A30" s="642" t="s">
        <v>315</v>
      </c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</row>
    <row r="31" spans="1:13" ht="9" customHeight="1">
      <c r="A31" s="744" t="s">
        <v>108</v>
      </c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</row>
    <row r="32" spans="1:13" ht="15" customHeight="1">
      <c r="A32" s="742" t="s">
        <v>318</v>
      </c>
      <c r="B32" s="742"/>
      <c r="C32" s="742"/>
      <c r="D32" s="742"/>
      <c r="E32" s="742"/>
      <c r="F32" s="742"/>
      <c r="G32" s="743" t="str">
        <f>Чорн!M3</f>
        <v>березень</v>
      </c>
      <c r="H32" s="743"/>
      <c r="I32" s="742" t="s">
        <v>223</v>
      </c>
      <c r="J32" s="742"/>
      <c r="K32" s="742"/>
      <c r="L32" s="742"/>
      <c r="M32" s="742"/>
    </row>
    <row r="33" spans="1:13" ht="15" customHeight="1">
      <c r="A33" s="765" t="s">
        <v>56</v>
      </c>
      <c r="B33" s="765"/>
      <c r="C33" s="765"/>
      <c r="D33" s="765"/>
      <c r="E33" s="765"/>
      <c r="F33" s="765"/>
      <c r="G33" s="765"/>
      <c r="H33" s="765"/>
      <c r="I33" s="765"/>
      <c r="J33" s="765"/>
      <c r="K33" s="765"/>
      <c r="L33" s="765"/>
      <c r="M33" s="765"/>
    </row>
    <row r="34" spans="1:13" ht="12" customHeight="1">
      <c r="A34" s="768" t="s">
        <v>57</v>
      </c>
      <c r="B34" s="745" t="s">
        <v>58</v>
      </c>
      <c r="C34" s="746"/>
      <c r="D34" s="749" t="s">
        <v>5</v>
      </c>
      <c r="E34" s="750"/>
      <c r="F34" s="750"/>
      <c r="G34" s="750"/>
      <c r="H34" s="750"/>
      <c r="I34" s="750"/>
      <c r="J34" s="750"/>
      <c r="K34" s="751"/>
      <c r="L34" s="717" t="s">
        <v>59</v>
      </c>
      <c r="M34" s="717" t="s">
        <v>60</v>
      </c>
    </row>
    <row r="35" spans="1:13" ht="12" customHeight="1">
      <c r="A35" s="769"/>
      <c r="B35" s="747"/>
      <c r="C35" s="748"/>
      <c r="D35" s="752"/>
      <c r="E35" s="753"/>
      <c r="F35" s="753"/>
      <c r="G35" s="753"/>
      <c r="H35" s="753"/>
      <c r="I35" s="753"/>
      <c r="J35" s="753"/>
      <c r="K35" s="754"/>
      <c r="L35" s="717"/>
      <c r="M35" s="717"/>
    </row>
    <row r="36" spans="1:13" ht="15" customHeight="1">
      <c r="A36" s="769"/>
      <c r="B36" s="716" t="s">
        <v>61</v>
      </c>
      <c r="C36" s="716" t="s">
        <v>47</v>
      </c>
      <c r="D36" s="717" t="s">
        <v>62</v>
      </c>
      <c r="E36" s="719" t="s">
        <v>319</v>
      </c>
      <c r="F36" s="720"/>
      <c r="G36" s="719" t="s">
        <v>165</v>
      </c>
      <c r="H36" s="720"/>
      <c r="I36" s="738" t="s">
        <v>63</v>
      </c>
      <c r="J36" s="717" t="s">
        <v>64</v>
      </c>
      <c r="K36" s="717" t="s">
        <v>153</v>
      </c>
      <c r="L36" s="717"/>
      <c r="M36" s="717"/>
    </row>
    <row r="37" spans="1:13" ht="49.5" customHeight="1">
      <c r="A37" s="769"/>
      <c r="B37" s="716"/>
      <c r="C37" s="716"/>
      <c r="D37" s="717"/>
      <c r="E37" s="721"/>
      <c r="F37" s="722"/>
      <c r="G37" s="721"/>
      <c r="H37" s="722"/>
      <c r="I37" s="739"/>
      <c r="J37" s="717"/>
      <c r="K37" s="717"/>
      <c r="L37" s="717"/>
      <c r="M37" s="717"/>
    </row>
    <row r="38" spans="1:13" ht="49.5" customHeight="1">
      <c r="A38" s="769"/>
      <c r="B38" s="716"/>
      <c r="C38" s="716"/>
      <c r="D38" s="717"/>
      <c r="E38" s="721"/>
      <c r="F38" s="722"/>
      <c r="G38" s="721"/>
      <c r="H38" s="722"/>
      <c r="I38" s="739"/>
      <c r="J38" s="717"/>
      <c r="K38" s="717"/>
      <c r="L38" s="717"/>
      <c r="M38" s="717"/>
    </row>
    <row r="39" spans="1:13" ht="22.5" customHeight="1">
      <c r="A39" s="770"/>
      <c r="B39" s="716"/>
      <c r="C39" s="716"/>
      <c r="D39" s="717"/>
      <c r="E39" s="723"/>
      <c r="F39" s="724"/>
      <c r="G39" s="723"/>
      <c r="H39" s="724"/>
      <c r="I39" s="740"/>
      <c r="J39" s="717"/>
      <c r="K39" s="717"/>
      <c r="L39" s="717"/>
      <c r="M39" s="717"/>
    </row>
    <row r="40" spans="1:13" ht="12.75" customHeight="1">
      <c r="A40" s="118">
        <v>1</v>
      </c>
      <c r="B40" s="119">
        <v>2</v>
      </c>
      <c r="C40" s="119">
        <v>3</v>
      </c>
      <c r="D40" s="120">
        <v>4</v>
      </c>
      <c r="E40" s="690">
        <v>5</v>
      </c>
      <c r="F40" s="691"/>
      <c r="G40" s="690">
        <v>6</v>
      </c>
      <c r="H40" s="691"/>
      <c r="I40" s="121">
        <v>7</v>
      </c>
      <c r="J40" s="120">
        <v>8</v>
      </c>
      <c r="K40" s="120">
        <v>9</v>
      </c>
      <c r="L40" s="120">
        <v>10</v>
      </c>
      <c r="M40" s="120">
        <v>11</v>
      </c>
    </row>
    <row r="41" spans="1:13" ht="28.5" customHeight="1">
      <c r="A41" s="93">
        <v>1</v>
      </c>
      <c r="B41" s="94" t="s">
        <v>65</v>
      </c>
      <c r="C41" s="182">
        <f>D41+M41</f>
        <v>280</v>
      </c>
      <c r="D41" s="182">
        <f>SUM(E41:K41)</f>
        <v>280</v>
      </c>
      <c r="E41" s="688">
        <f>Чорн!D26</f>
        <v>170</v>
      </c>
      <c r="F41" s="689"/>
      <c r="G41" s="688">
        <f>Чорн!D27</f>
        <v>110</v>
      </c>
      <c r="H41" s="689"/>
      <c r="I41" s="182">
        <f>SUM(Чорн!D28:E29)</f>
        <v>0</v>
      </c>
      <c r="J41" s="182">
        <v>0</v>
      </c>
      <c r="K41" s="182">
        <v>0</v>
      </c>
      <c r="L41" s="182">
        <v>0</v>
      </c>
      <c r="M41" s="182">
        <f>Чорн!D31</f>
        <v>0</v>
      </c>
    </row>
    <row r="42" spans="1:13" ht="15">
      <c r="A42" s="93">
        <v>2</v>
      </c>
      <c r="B42" s="94" t="s">
        <v>66</v>
      </c>
      <c r="C42" s="182">
        <v>0</v>
      </c>
      <c r="D42" s="182">
        <f>SUM(E42:K42)</f>
        <v>0</v>
      </c>
      <c r="E42" s="682">
        <v>0</v>
      </c>
      <c r="F42" s="683"/>
      <c r="G42" s="682">
        <v>0</v>
      </c>
      <c r="H42" s="683"/>
      <c r="I42" s="182">
        <v>0</v>
      </c>
      <c r="J42" s="182">
        <v>0</v>
      </c>
      <c r="K42" s="182">
        <v>0</v>
      </c>
      <c r="L42" s="182">
        <v>0</v>
      </c>
      <c r="M42" s="182">
        <v>0</v>
      </c>
    </row>
    <row r="43" spans="1:13" ht="38.25">
      <c r="A43" s="93">
        <v>3</v>
      </c>
      <c r="B43" s="94" t="s">
        <v>152</v>
      </c>
      <c r="C43" s="350">
        <f>SUM(D43,M43)</f>
        <v>0</v>
      </c>
      <c r="D43" s="182">
        <f>SUM(E43:K43)</f>
        <v>0</v>
      </c>
      <c r="E43" s="686">
        <f>Чорн!F26</f>
        <v>0</v>
      </c>
      <c r="F43" s="687"/>
      <c r="G43" s="686">
        <f>Чорн!F27</f>
        <v>0</v>
      </c>
      <c r="H43" s="687"/>
      <c r="I43" s="350">
        <v>0</v>
      </c>
      <c r="J43" s="182">
        <v>0</v>
      </c>
      <c r="K43" s="182">
        <v>0</v>
      </c>
      <c r="L43" s="182">
        <v>0</v>
      </c>
      <c r="M43" s="350">
        <f>Чорн!F31</f>
        <v>0</v>
      </c>
    </row>
    <row r="44" spans="1:13" ht="38.25">
      <c r="A44" s="93">
        <v>4</v>
      </c>
      <c r="B44" s="94" t="s">
        <v>67</v>
      </c>
      <c r="C44" s="182">
        <v>0</v>
      </c>
      <c r="D44" s="182">
        <f>SUM(E44:K44)</f>
        <v>0</v>
      </c>
      <c r="E44" s="688">
        <v>0</v>
      </c>
      <c r="F44" s="689"/>
      <c r="G44" s="688">
        <v>0</v>
      </c>
      <c r="H44" s="689"/>
      <c r="I44" s="182">
        <v>0</v>
      </c>
      <c r="J44" s="182">
        <v>0</v>
      </c>
      <c r="K44" s="182">
        <v>0</v>
      </c>
      <c r="L44" s="182">
        <v>0</v>
      </c>
      <c r="M44" s="182">
        <v>0</v>
      </c>
    </row>
    <row r="45" spans="1:13" ht="15">
      <c r="A45" s="93">
        <v>5</v>
      </c>
      <c r="B45" s="94" t="s">
        <v>62</v>
      </c>
      <c r="C45" s="182">
        <f>SUM(C41:C44)</f>
        <v>280</v>
      </c>
      <c r="D45" s="182">
        <f>SUM(D41:D44)</f>
        <v>280</v>
      </c>
      <c r="E45" s="688">
        <f>SUM(E41:E44)</f>
        <v>170</v>
      </c>
      <c r="F45" s="689"/>
      <c r="G45" s="688">
        <f>SUM(G41:G44)</f>
        <v>110</v>
      </c>
      <c r="H45" s="689"/>
      <c r="I45" s="182">
        <f>SUM(I41:I44)</f>
        <v>0</v>
      </c>
      <c r="J45" s="182">
        <f>SUM(J41:J44)</f>
        <v>0</v>
      </c>
      <c r="K45" s="182">
        <f>SUM(K41:K44)</f>
        <v>0</v>
      </c>
      <c r="L45" s="182">
        <f>SUM(L41:L44)</f>
        <v>0</v>
      </c>
      <c r="M45" s="182">
        <f>SUM(M41:M44)</f>
        <v>0</v>
      </c>
    </row>
    <row r="46" spans="1:13" ht="15">
      <c r="A46" s="96"/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1:13" ht="12.75">
      <c r="A47" s="766" t="s">
        <v>245</v>
      </c>
      <c r="B47" s="766"/>
      <c r="C47" s="766"/>
      <c r="D47" s="766"/>
      <c r="E47" s="766"/>
      <c r="F47" s="766"/>
      <c r="G47" s="766"/>
      <c r="H47" s="766"/>
      <c r="I47" s="766"/>
      <c r="J47" s="766"/>
      <c r="K47" s="766"/>
      <c r="L47" s="766"/>
      <c r="M47" s="766"/>
    </row>
    <row r="48" spans="1:13" ht="12.75">
      <c r="A48" s="119">
        <v>1</v>
      </c>
      <c r="B48" s="119">
        <v>2</v>
      </c>
      <c r="C48" s="119">
        <v>3</v>
      </c>
      <c r="D48" s="120">
        <v>4</v>
      </c>
      <c r="E48" s="690">
        <v>5</v>
      </c>
      <c r="F48" s="691"/>
      <c r="G48" s="690">
        <v>6</v>
      </c>
      <c r="H48" s="691"/>
      <c r="I48" s="120">
        <v>7</v>
      </c>
      <c r="J48" s="120">
        <v>8</v>
      </c>
      <c r="K48" s="120">
        <v>9</v>
      </c>
      <c r="L48" s="120">
        <v>10</v>
      </c>
      <c r="M48" s="120">
        <v>11</v>
      </c>
    </row>
    <row r="49" spans="1:13" ht="12.75">
      <c r="A49" s="767"/>
      <c r="B49" s="94" t="s">
        <v>68</v>
      </c>
      <c r="C49" s="184">
        <v>0</v>
      </c>
      <c r="D49" s="184">
        <v>0</v>
      </c>
      <c r="E49" s="682">
        <v>0</v>
      </c>
      <c r="F49" s="683"/>
      <c r="G49" s="682">
        <v>0</v>
      </c>
      <c r="H49" s="683"/>
      <c r="I49" s="184">
        <v>0</v>
      </c>
      <c r="J49" s="184">
        <v>0</v>
      </c>
      <c r="K49" s="184">
        <v>0</v>
      </c>
      <c r="L49" s="184">
        <v>0</v>
      </c>
      <c r="M49" s="184">
        <v>0</v>
      </c>
    </row>
    <row r="50" spans="1:13" ht="12.75">
      <c r="A50" s="767"/>
      <c r="B50" s="94" t="s">
        <v>69</v>
      </c>
      <c r="C50" s="184">
        <v>0</v>
      </c>
      <c r="D50" s="183" t="s">
        <v>110</v>
      </c>
      <c r="E50" s="684" t="s">
        <v>110</v>
      </c>
      <c r="F50" s="685"/>
      <c r="G50" s="684" t="s">
        <v>110</v>
      </c>
      <c r="H50" s="685"/>
      <c r="I50" s="183" t="s">
        <v>110</v>
      </c>
      <c r="J50" s="183" t="s">
        <v>110</v>
      </c>
      <c r="K50" s="184">
        <v>0</v>
      </c>
      <c r="L50" s="184">
        <v>0</v>
      </c>
      <c r="M50" s="184">
        <v>0</v>
      </c>
    </row>
    <row r="51" spans="1:13" ht="12.75">
      <c r="A51" s="767"/>
      <c r="B51" s="94" t="s">
        <v>70</v>
      </c>
      <c r="C51" s="184">
        <v>0</v>
      </c>
      <c r="D51" s="183" t="s">
        <v>110</v>
      </c>
      <c r="E51" s="684" t="s">
        <v>110</v>
      </c>
      <c r="F51" s="685"/>
      <c r="G51" s="684" t="s">
        <v>110</v>
      </c>
      <c r="H51" s="685"/>
      <c r="I51" s="183" t="s">
        <v>110</v>
      </c>
      <c r="J51" s="183" t="s">
        <v>110</v>
      </c>
      <c r="K51" s="184">
        <v>0</v>
      </c>
      <c r="L51" s="184">
        <v>0</v>
      </c>
      <c r="M51" s="184">
        <v>0</v>
      </c>
    </row>
    <row r="52" spans="1:13" ht="24.75" customHeight="1">
      <c r="A52" s="767"/>
      <c r="B52" s="117" t="s">
        <v>154</v>
      </c>
      <c r="C52" s="184">
        <v>0</v>
      </c>
      <c r="D52" s="183" t="s">
        <v>110</v>
      </c>
      <c r="E52" s="684" t="s">
        <v>110</v>
      </c>
      <c r="F52" s="685"/>
      <c r="G52" s="684" t="s">
        <v>110</v>
      </c>
      <c r="H52" s="685"/>
      <c r="I52" s="183" t="s">
        <v>110</v>
      </c>
      <c r="J52" s="183" t="s">
        <v>110</v>
      </c>
      <c r="K52" s="184">
        <v>0</v>
      </c>
      <c r="L52" s="184">
        <v>0</v>
      </c>
      <c r="M52" s="184">
        <v>0</v>
      </c>
    </row>
    <row r="53" spans="1:13" ht="36.75" customHeight="1">
      <c r="A53" s="99">
        <v>6</v>
      </c>
      <c r="B53" s="94" t="s">
        <v>320</v>
      </c>
      <c r="C53" s="183" t="s">
        <v>110</v>
      </c>
      <c r="D53" s="183">
        <f>SUM(E53:K53)</f>
        <v>0</v>
      </c>
      <c r="E53" s="682">
        <v>0</v>
      </c>
      <c r="F53" s="683"/>
      <c r="G53" s="682">
        <v>0</v>
      </c>
      <c r="H53" s="683"/>
      <c r="I53" s="184">
        <v>0</v>
      </c>
      <c r="J53" s="184">
        <v>0</v>
      </c>
      <c r="K53" s="184">
        <v>0</v>
      </c>
      <c r="L53" s="183" t="s">
        <v>110</v>
      </c>
      <c r="M53" s="183" t="s">
        <v>110</v>
      </c>
    </row>
    <row r="54" spans="1:13" ht="25.5">
      <c r="A54" s="99">
        <v>7</v>
      </c>
      <c r="B54" s="94" t="s">
        <v>71</v>
      </c>
      <c r="C54" s="183" t="s">
        <v>110</v>
      </c>
      <c r="D54" s="183">
        <f>SUM(E54:J54)</f>
        <v>280</v>
      </c>
      <c r="E54" s="684">
        <f>E45</f>
        <v>170</v>
      </c>
      <c r="F54" s="685"/>
      <c r="G54" s="684">
        <f>G45</f>
        <v>110</v>
      </c>
      <c r="H54" s="685"/>
      <c r="I54" s="183">
        <f>SUM(Чорн!D28:E29)</f>
        <v>0</v>
      </c>
      <c r="J54" s="183">
        <f>ROUND(IF(N1=0,J45,J45*N1),2)</f>
        <v>0</v>
      </c>
      <c r="K54" s="183" t="s">
        <v>110</v>
      </c>
      <c r="L54" s="183">
        <f>ROUND(IF(N1=0,L45,L45*N1),2)</f>
        <v>0</v>
      </c>
      <c r="M54" s="183">
        <f>M45</f>
        <v>0</v>
      </c>
    </row>
    <row r="55" spans="1:13" ht="15" customHeight="1">
      <c r="A55" s="718" t="s">
        <v>321</v>
      </c>
      <c r="B55" s="718"/>
      <c r="C55" s="718"/>
      <c r="D55" s="718"/>
      <c r="E55" s="718"/>
      <c r="F55" s="718"/>
      <c r="G55" s="718"/>
      <c r="H55" s="718"/>
      <c r="I55" s="718"/>
      <c r="J55" s="718"/>
      <c r="K55" s="718"/>
      <c r="L55" s="718"/>
      <c r="M55" s="718"/>
    </row>
    <row r="56" spans="1:13" ht="37.5" customHeight="1">
      <c r="A56" s="100">
        <v>1</v>
      </c>
      <c r="B56" s="94" t="s">
        <v>320</v>
      </c>
      <c r="C56" s="183" t="s">
        <v>110</v>
      </c>
      <c r="D56" s="184">
        <v>0</v>
      </c>
      <c r="E56" s="682">
        <v>0</v>
      </c>
      <c r="F56" s="683"/>
      <c r="G56" s="682">
        <v>0</v>
      </c>
      <c r="H56" s="683"/>
      <c r="I56" s="184">
        <v>0</v>
      </c>
      <c r="J56" s="184">
        <v>0</v>
      </c>
      <c r="K56" s="184">
        <v>0</v>
      </c>
      <c r="L56" s="183" t="s">
        <v>110</v>
      </c>
      <c r="M56" s="183" t="s">
        <v>110</v>
      </c>
    </row>
    <row r="57" spans="1:13" ht="26.25" customHeight="1">
      <c r="A57" s="100">
        <v>2</v>
      </c>
      <c r="B57" s="94" t="s">
        <v>71</v>
      </c>
      <c r="C57" s="183" t="s">
        <v>110</v>
      </c>
      <c r="D57" s="184">
        <v>0</v>
      </c>
      <c r="E57" s="682">
        <v>0</v>
      </c>
      <c r="F57" s="683"/>
      <c r="G57" s="682">
        <v>0</v>
      </c>
      <c r="H57" s="683"/>
      <c r="I57" s="184">
        <v>0</v>
      </c>
      <c r="J57" s="184">
        <v>0</v>
      </c>
      <c r="K57" s="183" t="s">
        <v>110</v>
      </c>
      <c r="L57" s="184">
        <v>0</v>
      </c>
      <c r="M57" s="184">
        <v>0</v>
      </c>
    </row>
    <row r="58" spans="1:13" ht="15.75">
      <c r="A58" s="713" t="s">
        <v>159</v>
      </c>
      <c r="B58" s="714"/>
      <c r="C58" s="714"/>
      <c r="D58" s="714"/>
      <c r="E58" s="714"/>
      <c r="F58" s="714"/>
      <c r="G58" s="714"/>
      <c r="H58" s="714"/>
      <c r="I58" s="714"/>
      <c r="J58" s="714"/>
      <c r="K58" s="714"/>
      <c r="L58" s="714"/>
      <c r="M58" s="714"/>
    </row>
    <row r="59" spans="1:13" ht="36.75" customHeight="1">
      <c r="A59" s="705" t="s">
        <v>57</v>
      </c>
      <c r="B59" s="715" t="s">
        <v>61</v>
      </c>
      <c r="C59" s="715"/>
      <c r="D59" s="694" t="s">
        <v>160</v>
      </c>
      <c r="E59" s="694"/>
      <c r="F59" s="694"/>
      <c r="G59" s="694" t="s">
        <v>156</v>
      </c>
      <c r="H59" s="694"/>
      <c r="I59" s="694"/>
      <c r="J59" s="694"/>
      <c r="K59" s="694" t="s">
        <v>157</v>
      </c>
      <c r="L59" s="694"/>
      <c r="M59" s="694"/>
    </row>
    <row r="60" spans="1:13" ht="36.75" customHeight="1">
      <c r="A60" s="705"/>
      <c r="B60" s="715"/>
      <c r="C60" s="715"/>
      <c r="D60" s="694"/>
      <c r="E60" s="694"/>
      <c r="F60" s="694"/>
      <c r="G60" s="694"/>
      <c r="H60" s="694"/>
      <c r="I60" s="694"/>
      <c r="J60" s="694"/>
      <c r="K60" s="694"/>
      <c r="L60" s="694"/>
      <c r="M60" s="694"/>
    </row>
    <row r="61" spans="1:13" ht="27.75" customHeight="1">
      <c r="A61" s="93">
        <v>1</v>
      </c>
      <c r="B61" s="701" t="s">
        <v>158</v>
      </c>
      <c r="C61" s="701"/>
      <c r="D61" s="695">
        <f>C45</f>
        <v>280</v>
      </c>
      <c r="E61" s="695"/>
      <c r="F61" s="695"/>
      <c r="G61" s="695">
        <f>Чорн!D33</f>
        <v>340</v>
      </c>
      <c r="H61" s="695"/>
      <c r="I61" s="695"/>
      <c r="J61" s="695"/>
      <c r="K61" s="702">
        <v>0</v>
      </c>
      <c r="L61" s="703"/>
      <c r="M61" s="704"/>
    </row>
    <row r="62" spans="1:13" ht="24" customHeight="1">
      <c r="A62" s="101">
        <v>2</v>
      </c>
      <c r="B62" s="701" t="s">
        <v>72</v>
      </c>
      <c r="C62" s="701"/>
      <c r="D62" s="702">
        <v>0</v>
      </c>
      <c r="E62" s="703"/>
      <c r="F62" s="704"/>
      <c r="G62" s="702">
        <v>0</v>
      </c>
      <c r="H62" s="703"/>
      <c r="I62" s="703"/>
      <c r="J62" s="704"/>
      <c r="K62" s="702">
        <v>0</v>
      </c>
      <c r="L62" s="703"/>
      <c r="M62" s="704"/>
    </row>
    <row r="63" spans="1:13" ht="17.25" customHeight="1">
      <c r="A63" s="101">
        <v>4</v>
      </c>
      <c r="B63" s="701" t="s">
        <v>73</v>
      </c>
      <c r="C63" s="701"/>
      <c r="D63" s="695">
        <f>SUM(D61:F62)</f>
        <v>280</v>
      </c>
      <c r="E63" s="695"/>
      <c r="F63" s="695"/>
      <c r="G63" s="695">
        <f>SUM(G61:J62)</f>
        <v>340</v>
      </c>
      <c r="H63" s="695"/>
      <c r="I63" s="695"/>
      <c r="J63" s="695"/>
      <c r="K63" s="702">
        <f>SUM(K61:M62)</f>
        <v>0</v>
      </c>
      <c r="L63" s="703"/>
      <c r="M63" s="704"/>
    </row>
    <row r="64" spans="1:13" ht="12.75" customHeight="1">
      <c r="A64" s="706" t="s">
        <v>237</v>
      </c>
      <c r="B64" s="706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</row>
    <row r="65" spans="1:13" ht="12.75" customHeight="1">
      <c r="A65" s="696" t="s">
        <v>236</v>
      </c>
      <c r="B65" s="696"/>
      <c r="C65" s="696"/>
      <c r="D65" s="696"/>
      <c r="E65" s="696"/>
      <c r="F65" s="696"/>
      <c r="G65" s="696"/>
      <c r="H65" s="696"/>
      <c r="I65" s="696"/>
      <c r="J65" s="696"/>
      <c r="K65" s="756" t="str">
        <f>H82</f>
        <v>сідоров</v>
      </c>
      <c r="L65" s="756"/>
      <c r="M65" s="756"/>
    </row>
    <row r="66" spans="1:13" ht="7.5" customHeight="1">
      <c r="A66" s="710" t="s">
        <v>74</v>
      </c>
      <c r="B66" s="710"/>
      <c r="C66" s="710"/>
      <c r="D66" s="710"/>
      <c r="E66" s="710"/>
      <c r="F66" s="710"/>
      <c r="G66" s="710"/>
      <c r="H66" s="710"/>
      <c r="I66" s="710"/>
      <c r="J66" s="710"/>
      <c r="K66" s="710"/>
      <c r="L66" s="710"/>
      <c r="M66" s="710"/>
    </row>
    <row r="67" spans="1:13" ht="12.75" customHeight="1">
      <c r="A67" s="761" t="s">
        <v>225</v>
      </c>
      <c r="B67" s="761"/>
      <c r="C67" s="761"/>
      <c r="D67" s="761"/>
      <c r="E67" s="761"/>
      <c r="F67" s="761"/>
      <c r="G67" s="761"/>
      <c r="H67" s="761"/>
      <c r="I67" s="761"/>
      <c r="J67" s="761"/>
      <c r="K67" s="761"/>
      <c r="L67" s="761"/>
      <c r="M67" s="761"/>
    </row>
    <row r="68" spans="1:13" ht="7.5" customHeight="1">
      <c r="A68" s="758" t="s">
        <v>164</v>
      </c>
      <c r="B68" s="758"/>
      <c r="C68" s="758"/>
      <c r="D68" s="758"/>
      <c r="E68" s="758"/>
      <c r="F68" s="758"/>
      <c r="G68" s="758"/>
      <c r="H68" s="758"/>
      <c r="I68" s="758"/>
      <c r="J68" s="758"/>
      <c r="K68" s="758"/>
      <c r="L68" s="758"/>
      <c r="M68" s="758"/>
    </row>
    <row r="69" spans="1:13" ht="12.75" customHeight="1">
      <c r="A69" s="759" t="s">
        <v>242</v>
      </c>
      <c r="B69" s="759"/>
      <c r="C69" s="759"/>
      <c r="D69" s="759"/>
      <c r="E69" s="759"/>
      <c r="F69" s="759"/>
      <c r="G69" s="759"/>
      <c r="H69" s="759"/>
      <c r="I69" s="759"/>
      <c r="J69" s="759"/>
      <c r="K69" s="759"/>
      <c r="L69" s="759"/>
      <c r="M69" s="759"/>
    </row>
    <row r="70" spans="1:13" ht="26.25" customHeight="1">
      <c r="A70" s="759" t="s">
        <v>243</v>
      </c>
      <c r="B70" s="759"/>
      <c r="C70" s="759"/>
      <c r="D70" s="759"/>
      <c r="E70" s="759"/>
      <c r="F70" s="759"/>
      <c r="G70" s="759"/>
      <c r="H70" s="759"/>
      <c r="I70" s="759"/>
      <c r="J70" s="759"/>
      <c r="K70" s="759"/>
      <c r="L70" s="759"/>
      <c r="M70" s="759"/>
    </row>
    <row r="71" spans="1:13" s="116" customFormat="1" ht="7.5" customHeight="1" thickBot="1">
      <c r="A71" s="760" t="s">
        <v>163</v>
      </c>
      <c r="B71" s="760"/>
      <c r="C71" s="760"/>
      <c r="D71" s="760"/>
      <c r="E71" s="760"/>
      <c r="F71" s="760"/>
      <c r="G71" s="760"/>
      <c r="H71" s="760"/>
      <c r="I71" s="760"/>
      <c r="J71" s="760"/>
      <c r="K71" s="760"/>
      <c r="L71" s="760"/>
      <c r="M71" s="760"/>
    </row>
    <row r="72" spans="1:13" ht="12.75">
      <c r="A72" s="757" t="s">
        <v>322</v>
      </c>
      <c r="B72" s="757"/>
      <c r="C72" s="757"/>
      <c r="D72" s="757"/>
      <c r="E72" s="757"/>
      <c r="F72" s="757"/>
      <c r="G72" s="757"/>
      <c r="H72" s="757"/>
      <c r="I72" s="757"/>
      <c r="J72" s="757"/>
      <c r="K72" s="757"/>
      <c r="L72" s="757"/>
      <c r="M72" s="757"/>
    </row>
    <row r="73" spans="1:13" ht="38.25" customHeight="1">
      <c r="A73" s="54" t="s">
        <v>57</v>
      </c>
      <c r="B73" s="694" t="s">
        <v>75</v>
      </c>
      <c r="C73" s="694"/>
      <c r="D73" s="694"/>
      <c r="E73" s="694" t="s">
        <v>76</v>
      </c>
      <c r="F73" s="694"/>
      <c r="G73" s="694"/>
      <c r="H73" s="694" t="s">
        <v>77</v>
      </c>
      <c r="I73" s="694"/>
      <c r="J73" s="694"/>
      <c r="K73" s="694" t="s">
        <v>323</v>
      </c>
      <c r="L73" s="694"/>
      <c r="M73" s="694"/>
    </row>
    <row r="74" spans="1:13" ht="15" customHeight="1">
      <c r="A74" s="175"/>
      <c r="B74" s="700"/>
      <c r="C74" s="700"/>
      <c r="D74" s="700"/>
      <c r="E74" s="692">
        <v>0</v>
      </c>
      <c r="F74" s="693"/>
      <c r="G74" s="693"/>
      <c r="H74" s="692">
        <v>0</v>
      </c>
      <c r="I74" s="693"/>
      <c r="J74" s="693"/>
      <c r="K74" s="692">
        <v>0</v>
      </c>
      <c r="L74" s="693"/>
      <c r="M74" s="693"/>
    </row>
    <row r="75" spans="1:13" ht="15" customHeight="1">
      <c r="A75" s="175"/>
      <c r="B75" s="700"/>
      <c r="C75" s="700"/>
      <c r="D75" s="700"/>
      <c r="E75" s="692">
        <v>0</v>
      </c>
      <c r="F75" s="693"/>
      <c r="G75" s="693"/>
      <c r="H75" s="692">
        <v>0</v>
      </c>
      <c r="I75" s="693"/>
      <c r="J75" s="693"/>
      <c r="K75" s="692">
        <v>0</v>
      </c>
      <c r="L75" s="693"/>
      <c r="M75" s="693"/>
    </row>
    <row r="76" spans="1:13" ht="15" customHeight="1">
      <c r="A76" s="175"/>
      <c r="B76" s="700"/>
      <c r="C76" s="700"/>
      <c r="D76" s="700"/>
      <c r="E76" s="692">
        <v>0</v>
      </c>
      <c r="F76" s="693"/>
      <c r="G76" s="693"/>
      <c r="H76" s="692">
        <v>0</v>
      </c>
      <c r="I76" s="693"/>
      <c r="J76" s="693"/>
      <c r="K76" s="692">
        <v>0</v>
      </c>
      <c r="L76" s="693"/>
      <c r="M76" s="693"/>
    </row>
    <row r="77" spans="1:13" ht="15" customHeight="1">
      <c r="A77" s="175"/>
      <c r="B77" s="700"/>
      <c r="C77" s="700"/>
      <c r="D77" s="700"/>
      <c r="E77" s="692">
        <v>0</v>
      </c>
      <c r="F77" s="693"/>
      <c r="G77" s="693"/>
      <c r="H77" s="692">
        <v>0</v>
      </c>
      <c r="I77" s="693"/>
      <c r="J77" s="693"/>
      <c r="K77" s="692">
        <v>0</v>
      </c>
      <c r="L77" s="693"/>
      <c r="M77" s="693"/>
    </row>
    <row r="78" spans="1:13" ht="15" customHeight="1">
      <c r="A78" s="697" t="s">
        <v>79</v>
      </c>
      <c r="B78" s="697"/>
      <c r="C78" s="697"/>
      <c r="D78" s="697"/>
      <c r="E78" s="698">
        <f>SUM(E74:G77)</f>
        <v>0</v>
      </c>
      <c r="F78" s="699"/>
      <c r="G78" s="699"/>
      <c r="H78" s="698">
        <f>SUM(H74:J77)</f>
        <v>0</v>
      </c>
      <c r="I78" s="699"/>
      <c r="J78" s="699"/>
      <c r="K78" s="698">
        <f>SUM(K74:M77)</f>
        <v>0</v>
      </c>
      <c r="L78" s="699"/>
      <c r="M78" s="699"/>
    </row>
    <row r="79" spans="1:13" s="122" customFormat="1" ht="12" customHeight="1">
      <c r="A79" s="755" t="s">
        <v>161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</row>
    <row r="80" spans="1:13" s="122" customFormat="1" ht="12" customHeight="1">
      <c r="A80" s="763" t="s">
        <v>162</v>
      </c>
      <c r="B80" s="763"/>
      <c r="C80" s="763"/>
      <c r="D80" s="763"/>
      <c r="E80" s="763"/>
      <c r="F80" s="763"/>
      <c r="G80" s="763"/>
      <c r="H80" s="763"/>
      <c r="I80" s="763"/>
      <c r="J80" s="763"/>
      <c r="K80" s="763"/>
      <c r="L80" s="763"/>
      <c r="M80" s="763"/>
    </row>
    <row r="81" spans="1:13" ht="18" customHeight="1">
      <c r="A81" s="65"/>
      <c r="B81" s="762" t="s">
        <v>234</v>
      </c>
      <c r="C81" s="762"/>
      <c r="D81" s="23"/>
      <c r="E81" s="23"/>
      <c r="F81" s="23"/>
      <c r="G81" s="23"/>
      <c r="H81" s="23" t="str">
        <f>Дані!D11</f>
        <v>Іваанов</v>
      </c>
      <c r="I81" s="23"/>
      <c r="J81" s="23"/>
      <c r="K81" s="23"/>
      <c r="L81" s="23"/>
      <c r="M81" s="23"/>
    </row>
    <row r="82" spans="1:13" ht="15.75">
      <c r="A82" s="56"/>
      <c r="B82" s="762" t="s">
        <v>235</v>
      </c>
      <c r="C82" s="762"/>
      <c r="D82" s="23"/>
      <c r="E82" s="23"/>
      <c r="F82" s="23"/>
      <c r="G82" s="23"/>
      <c r="H82" s="23" t="str">
        <f>Дані!D12</f>
        <v>сідоров</v>
      </c>
      <c r="I82" s="23"/>
      <c r="J82" s="23"/>
      <c r="K82" s="23"/>
      <c r="L82" s="23"/>
      <c r="M82" s="23"/>
    </row>
    <row r="83" spans="1:13" ht="12.75">
      <c r="A83" s="23"/>
      <c r="B83" s="66" t="s">
        <v>80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5.75">
      <c r="A84" s="23"/>
      <c r="B84" s="56" t="s">
        <v>81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</sheetData>
  <sheetProtection sheet="1" objects="1" scenarios="1" formatCells="0" selectLockedCells="1"/>
  <mergeCells count="140">
    <mergeCell ref="I15:J15"/>
    <mergeCell ref="H73:J73"/>
    <mergeCell ref="K73:M73"/>
    <mergeCell ref="B73:D73"/>
    <mergeCell ref="E73:G73"/>
    <mergeCell ref="A33:M33"/>
    <mergeCell ref="A47:M47"/>
    <mergeCell ref="A49:A52"/>
    <mergeCell ref="A34:A39"/>
    <mergeCell ref="I32:M32"/>
    <mergeCell ref="E74:G74"/>
    <mergeCell ref="H74:J74"/>
    <mergeCell ref="K74:M74"/>
    <mergeCell ref="B82:C82"/>
    <mergeCell ref="B81:C81"/>
    <mergeCell ref="B75:D75"/>
    <mergeCell ref="E75:G75"/>
    <mergeCell ref="B76:D76"/>
    <mergeCell ref="E76:G76"/>
    <mergeCell ref="A80:M80"/>
    <mergeCell ref="A79:M79"/>
    <mergeCell ref="K65:M65"/>
    <mergeCell ref="A72:M72"/>
    <mergeCell ref="A66:M66"/>
    <mergeCell ref="A68:M68"/>
    <mergeCell ref="A69:M69"/>
    <mergeCell ref="A70:M70"/>
    <mergeCell ref="A71:M71"/>
    <mergeCell ref="A67:M67"/>
    <mergeCell ref="B74:D74"/>
    <mergeCell ref="A31:M31"/>
    <mergeCell ref="B34:C35"/>
    <mergeCell ref="D34:K35"/>
    <mergeCell ref="L34:L39"/>
    <mergeCell ref="K36:K39"/>
    <mergeCell ref="A26:M26"/>
    <mergeCell ref="A27:M27"/>
    <mergeCell ref="H25:I25"/>
    <mergeCell ref="M34:M39"/>
    <mergeCell ref="I36:I39"/>
    <mergeCell ref="A29:M29"/>
    <mergeCell ref="A28:M28"/>
    <mergeCell ref="A30:M30"/>
    <mergeCell ref="A32:F32"/>
    <mergeCell ref="G32:H32"/>
    <mergeCell ref="A6:K6"/>
    <mergeCell ref="A9:M9"/>
    <mergeCell ref="A10:M10"/>
    <mergeCell ref="A11:M11"/>
    <mergeCell ref="F1:M3"/>
    <mergeCell ref="A4:C4"/>
    <mergeCell ref="D4:K4"/>
    <mergeCell ref="A5:C5"/>
    <mergeCell ref="A24:B24"/>
    <mergeCell ref="A7:M7"/>
    <mergeCell ref="A8:M8"/>
    <mergeCell ref="A13:M13"/>
    <mergeCell ref="A14:M14"/>
    <mergeCell ref="F12:G12"/>
    <mergeCell ref="C22:M22"/>
    <mergeCell ref="A16:M16"/>
    <mergeCell ref="C24:M24"/>
    <mergeCell ref="A15:H15"/>
    <mergeCell ref="A58:M58"/>
    <mergeCell ref="B59:C60"/>
    <mergeCell ref="B36:B39"/>
    <mergeCell ref="C36:C39"/>
    <mergeCell ref="D36:D39"/>
    <mergeCell ref="A55:M55"/>
    <mergeCell ref="J36:J39"/>
    <mergeCell ref="E36:F39"/>
    <mergeCell ref="G36:H39"/>
    <mergeCell ref="E45:F45"/>
    <mergeCell ref="G45:H45"/>
    <mergeCell ref="G41:H41"/>
    <mergeCell ref="A18:M18"/>
    <mergeCell ref="A20:C20"/>
    <mergeCell ref="D20:M20"/>
    <mergeCell ref="H21:I21"/>
    <mergeCell ref="A19:M19"/>
    <mergeCell ref="A23:M23"/>
    <mergeCell ref="A22:B22"/>
    <mergeCell ref="G40:H40"/>
    <mergeCell ref="E50:F50"/>
    <mergeCell ref="G48:H48"/>
    <mergeCell ref="G53:H53"/>
    <mergeCell ref="E49:F49"/>
    <mergeCell ref="G54:H54"/>
    <mergeCell ref="E51:F51"/>
    <mergeCell ref="E52:F52"/>
    <mergeCell ref="E53:F53"/>
    <mergeCell ref="K63:M63"/>
    <mergeCell ref="K61:M61"/>
    <mergeCell ref="K62:M62"/>
    <mergeCell ref="D59:F60"/>
    <mergeCell ref="D61:F61"/>
    <mergeCell ref="G59:J60"/>
    <mergeCell ref="H76:J76"/>
    <mergeCell ref="B61:C61"/>
    <mergeCell ref="G62:J62"/>
    <mergeCell ref="A59:A60"/>
    <mergeCell ref="A64:M64"/>
    <mergeCell ref="D62:F62"/>
    <mergeCell ref="B62:C62"/>
    <mergeCell ref="D63:F63"/>
    <mergeCell ref="B63:C63"/>
    <mergeCell ref="G63:J63"/>
    <mergeCell ref="K77:M77"/>
    <mergeCell ref="A78:D78"/>
    <mergeCell ref="E78:G78"/>
    <mergeCell ref="H78:J78"/>
    <mergeCell ref="K78:M78"/>
    <mergeCell ref="B77:D77"/>
    <mergeCell ref="E77:G77"/>
    <mergeCell ref="H77:J77"/>
    <mergeCell ref="K76:M76"/>
    <mergeCell ref="G44:H44"/>
    <mergeCell ref="G42:H42"/>
    <mergeCell ref="H75:J75"/>
    <mergeCell ref="K75:M75"/>
    <mergeCell ref="K59:M60"/>
    <mergeCell ref="G61:J61"/>
    <mergeCell ref="G43:H43"/>
    <mergeCell ref="A65:J65"/>
    <mergeCell ref="E48:F48"/>
    <mergeCell ref="E42:F42"/>
    <mergeCell ref="E43:F43"/>
    <mergeCell ref="E44:F44"/>
    <mergeCell ref="E40:F40"/>
    <mergeCell ref="E41:F41"/>
    <mergeCell ref="N1:N2"/>
    <mergeCell ref="E56:F56"/>
    <mergeCell ref="G56:H56"/>
    <mergeCell ref="E57:F57"/>
    <mergeCell ref="G57:H57"/>
    <mergeCell ref="E54:F54"/>
    <mergeCell ref="G49:H49"/>
    <mergeCell ref="G50:H50"/>
    <mergeCell ref="G51:H51"/>
    <mergeCell ref="G52:H52"/>
  </mergeCells>
  <printOptions/>
  <pageMargins left="0.7874015748031497" right="0.1968503937007874" top="0.5905511811023623" bottom="0.5905511811023623" header="0" footer="0"/>
  <pageSetup horizontalDpi="600" verticalDpi="600" orientation="portrait" paperSize="9" scale="98" r:id="rId1"/>
  <ignoredErrors>
    <ignoredError sqref="D44 D42:D4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/>
  <dimension ref="A1:H32"/>
  <sheetViews>
    <sheetView workbookViewId="0" topLeftCell="A1">
      <selection activeCell="B14" sqref="B14"/>
    </sheetView>
  </sheetViews>
  <sheetFormatPr defaultColWidth="9.140625" defaultRowHeight="12.75"/>
  <cols>
    <col min="1" max="4" width="14.7109375" style="0" customWidth="1"/>
    <col min="5" max="5" width="25.7109375" style="0" customWidth="1"/>
    <col min="6" max="6" width="45.7109375" style="0" customWidth="1"/>
  </cols>
  <sheetData>
    <row r="1" spans="1:8" s="71" customFormat="1" ht="15" customHeight="1">
      <c r="A1" s="774" t="str">
        <f>Дані!B1</f>
        <v>УДКСУ  у   районі</v>
      </c>
      <c r="B1" s="774"/>
      <c r="C1" s="774"/>
      <c r="D1" s="72"/>
      <c r="F1" s="75" t="s">
        <v>94</v>
      </c>
      <c r="G1" s="74"/>
      <c r="H1" s="74"/>
    </row>
    <row r="2" spans="1:6" ht="12.75" customHeight="1">
      <c r="A2" s="773" t="s">
        <v>96</v>
      </c>
      <c r="B2" s="773"/>
      <c r="C2" s="773"/>
      <c r="D2" s="772"/>
      <c r="E2" s="775"/>
      <c r="F2" s="776" t="s">
        <v>95</v>
      </c>
    </row>
    <row r="3" spans="1:6" ht="15">
      <c r="A3" s="774" t="str">
        <f>Дані!B2</f>
        <v> сільська  рада</v>
      </c>
      <c r="B3" s="774"/>
      <c r="C3" s="774"/>
      <c r="D3" s="772"/>
      <c r="E3" s="775"/>
      <c r="F3" s="776"/>
    </row>
    <row r="4" spans="1:6" ht="14.25">
      <c r="A4" s="773" t="s">
        <v>97</v>
      </c>
      <c r="B4" s="773"/>
      <c r="C4" s="773"/>
      <c r="D4" s="68"/>
      <c r="E4" s="69"/>
      <c r="F4" s="776"/>
    </row>
    <row r="5" spans="1:6" ht="14.25">
      <c r="A5" s="69"/>
      <c r="B5" s="69"/>
      <c r="C5" s="69"/>
      <c r="D5" s="69"/>
      <c r="E5" s="69"/>
      <c r="F5" s="776"/>
    </row>
    <row r="6" spans="1:6" ht="14.25">
      <c r="A6" s="69"/>
      <c r="B6" s="68"/>
      <c r="C6" s="68"/>
      <c r="D6" s="68"/>
      <c r="E6" s="69"/>
      <c r="F6" s="776"/>
    </row>
    <row r="7" spans="1:6" ht="14.25">
      <c r="A7" s="69"/>
      <c r="B7" s="69"/>
      <c r="C7" s="69"/>
      <c r="D7" s="69"/>
      <c r="E7" s="69"/>
      <c r="F7" s="75"/>
    </row>
    <row r="8" spans="1:6" ht="14.25">
      <c r="A8" s="69"/>
      <c r="B8" s="69"/>
      <c r="C8" s="69"/>
      <c r="D8" s="69"/>
      <c r="E8" s="69"/>
      <c r="F8" s="70"/>
    </row>
    <row r="9" spans="1:6" ht="14.25">
      <c r="A9" s="772" t="s">
        <v>82</v>
      </c>
      <c r="B9" s="772"/>
      <c r="C9" s="772"/>
      <c r="D9" s="772"/>
      <c r="E9" s="772"/>
      <c r="F9" s="772"/>
    </row>
    <row r="10" spans="1:6" ht="14.25">
      <c r="A10" s="772" t="s">
        <v>83</v>
      </c>
      <c r="B10" s="772"/>
      <c r="C10" s="772"/>
      <c r="D10" s="772"/>
      <c r="E10" s="772"/>
      <c r="F10" s="772"/>
    </row>
    <row r="11" spans="1:6" ht="14.25">
      <c r="A11" s="69"/>
      <c r="B11" s="69"/>
      <c r="C11" s="69"/>
      <c r="D11" s="69"/>
      <c r="E11" s="73"/>
      <c r="F11" s="73" t="s">
        <v>56</v>
      </c>
    </row>
    <row r="12" spans="1:6" ht="28.5">
      <c r="A12" s="76" t="s">
        <v>84</v>
      </c>
      <c r="B12" s="76" t="s">
        <v>85</v>
      </c>
      <c r="C12" s="76" t="s">
        <v>86</v>
      </c>
      <c r="D12" s="76" t="s">
        <v>76</v>
      </c>
      <c r="E12" s="77" t="s">
        <v>87</v>
      </c>
      <c r="F12" s="77" t="s">
        <v>88</v>
      </c>
    </row>
    <row r="13" spans="1:6" ht="15" customHeight="1">
      <c r="A13" s="78">
        <v>1</v>
      </c>
      <c r="B13" s="80" t="s">
        <v>241</v>
      </c>
      <c r="C13" s="238" t="str">
        <f>Чорн!C3</f>
        <v>010116</v>
      </c>
      <c r="D13" s="78">
        <v>2111</v>
      </c>
      <c r="E13" s="81">
        <f>ЗаявкаА!D63</f>
        <v>280</v>
      </c>
      <c r="F13" s="18"/>
    </row>
    <row r="14" spans="1:6" ht="15" customHeight="1">
      <c r="A14" s="78">
        <v>2</v>
      </c>
      <c r="B14" s="80" t="s">
        <v>241</v>
      </c>
      <c r="C14" s="80" t="str">
        <f>Чорн!C3</f>
        <v>010116</v>
      </c>
      <c r="D14" s="78">
        <v>2120</v>
      </c>
      <c r="E14" s="81">
        <f>ЗаявкаА!G63</f>
        <v>340</v>
      </c>
      <c r="F14" s="18"/>
    </row>
    <row r="15" spans="1:6" ht="15" customHeight="1">
      <c r="A15" s="78"/>
      <c r="B15" s="78"/>
      <c r="C15" s="78"/>
      <c r="D15" s="78"/>
      <c r="E15" s="81">
        <f>SUM(E13:E14)</f>
        <v>620</v>
      </c>
      <c r="F15" s="18"/>
    </row>
    <row r="16" spans="1:6" ht="15" customHeight="1">
      <c r="A16" s="78"/>
      <c r="B16" s="78"/>
      <c r="C16" s="78"/>
      <c r="D16" s="78"/>
      <c r="E16" s="79"/>
      <c r="F16" s="18"/>
    </row>
    <row r="17" spans="1:6" ht="15" customHeight="1">
      <c r="A17" s="78"/>
      <c r="B17" s="78"/>
      <c r="C17" s="78"/>
      <c r="D17" s="78"/>
      <c r="E17" s="79"/>
      <c r="F17" s="18"/>
    </row>
    <row r="18" spans="1:6" ht="15" customHeight="1">
      <c r="A18" s="18"/>
      <c r="B18" s="18"/>
      <c r="C18" s="18"/>
      <c r="D18" s="18"/>
      <c r="E18" s="18"/>
      <c r="F18" s="18"/>
    </row>
    <row r="19" spans="1:6" ht="15" customHeight="1">
      <c r="A19" s="18"/>
      <c r="B19" s="18"/>
      <c r="C19" s="18"/>
      <c r="D19" s="18"/>
      <c r="E19" s="18"/>
      <c r="F19" s="18"/>
    </row>
    <row r="20" spans="1:6" ht="15" customHeight="1">
      <c r="A20" s="18"/>
      <c r="B20" s="18"/>
      <c r="C20" s="18"/>
      <c r="D20" s="18"/>
      <c r="E20" s="18"/>
      <c r="F20" s="18"/>
    </row>
    <row r="21" spans="1:6" ht="12.75">
      <c r="A21" s="21"/>
      <c r="B21" s="21"/>
      <c r="C21" s="21"/>
      <c r="D21" s="21"/>
      <c r="E21" s="21"/>
      <c r="F21" s="21"/>
    </row>
    <row r="22" spans="1:6" ht="12.75">
      <c r="A22" s="472" t="s">
        <v>89</v>
      </c>
      <c r="B22" s="472"/>
      <c r="C22" s="472"/>
      <c r="D22" s="472"/>
      <c r="E22" s="472"/>
      <c r="F22" s="472"/>
    </row>
    <row r="23" spans="1:6" ht="12.75">
      <c r="A23" s="472" t="s">
        <v>90</v>
      </c>
      <c r="B23" s="472"/>
      <c r="C23" s="472"/>
      <c r="D23" s="472"/>
      <c r="E23" s="472"/>
      <c r="F23" s="472"/>
    </row>
    <row r="29" spans="1:6" ht="15">
      <c r="A29" s="771" t="str">
        <f>Дані!B11</f>
        <v>Сільський голова</v>
      </c>
      <c r="B29" s="771"/>
      <c r="C29" s="771"/>
      <c r="D29" s="69"/>
      <c r="E29" s="74"/>
      <c r="F29" s="74" t="str">
        <f>Дані!D11</f>
        <v>Іваанов</v>
      </c>
    </row>
    <row r="30" spans="1:5" ht="14.25">
      <c r="A30" s="69" t="s">
        <v>92</v>
      </c>
      <c r="B30" s="69"/>
      <c r="C30" s="69"/>
      <c r="D30" s="69"/>
      <c r="E30" s="69"/>
    </row>
    <row r="31" spans="1:6" ht="15">
      <c r="A31" s="771" t="str">
        <f>Дані!B12</f>
        <v>Головний бухгалтер</v>
      </c>
      <c r="B31" s="771"/>
      <c r="C31" s="771"/>
      <c r="D31" s="69"/>
      <c r="E31" s="173"/>
      <c r="F31" s="74" t="str">
        <f>Дані!D12</f>
        <v>сідоров</v>
      </c>
    </row>
    <row r="32" spans="1:5" ht="14.25">
      <c r="A32" s="69"/>
      <c r="B32" s="69"/>
      <c r="C32" s="69"/>
      <c r="D32" s="69"/>
      <c r="E32" s="69"/>
    </row>
  </sheetData>
  <sheetProtection sheet="1" selectLockedCells="1"/>
  <mergeCells count="13">
    <mergeCell ref="A1:C1"/>
    <mergeCell ref="F2:F6"/>
    <mergeCell ref="A4:C4"/>
    <mergeCell ref="A9:F9"/>
    <mergeCell ref="A10:F10"/>
    <mergeCell ref="A2:C2"/>
    <mergeCell ref="A3:C3"/>
    <mergeCell ref="D2:D3"/>
    <mergeCell ref="E2:E3"/>
    <mergeCell ref="A22:F22"/>
    <mergeCell ref="A23:F23"/>
    <mergeCell ref="A31:C31"/>
    <mergeCell ref="A29:C29"/>
  </mergeCells>
  <printOptions horizontalCentered="1"/>
  <pageMargins left="0.5905511811023623" right="0.5905511811023623" top="0.98425196850393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Dima</cp:lastModifiedBy>
  <cp:lastPrinted>2013-03-18T14:18:05Z</cp:lastPrinted>
  <dcterms:created xsi:type="dcterms:W3CDTF">1996-10-08T23:32:33Z</dcterms:created>
  <dcterms:modified xsi:type="dcterms:W3CDTF">2013-03-20T12:45:44Z</dcterms:modified>
  <cp:category/>
  <cp:version/>
  <cp:contentType/>
  <cp:contentStatus/>
</cp:coreProperties>
</file>